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1390" windowHeight="8100" activeTab="3"/>
  </bookViews>
  <sheets>
    <sheet name="Plyn" sheetId="4" r:id="rId1"/>
    <sheet name="Voda" sheetId="5" r:id="rId2"/>
    <sheet name="Elektrická enerie" sheetId="6" r:id="rId3"/>
    <sheet name="Přehled" sheetId="1" r:id="rId4"/>
  </sheets>
  <calcPr calcId="145621"/>
</workbook>
</file>

<file path=xl/calcChain.xml><?xml version="1.0" encoding="utf-8"?>
<calcChain xmlns="http://schemas.openxmlformats.org/spreadsheetml/2006/main">
  <c r="J28" i="1" l="1"/>
  <c r="H29" i="1" l="1"/>
  <c r="C26" i="5" l="1"/>
  <c r="I26" i="5" l="1"/>
  <c r="M24" i="4" l="1"/>
  <c r="L24" i="4" s="1"/>
  <c r="M26" i="4"/>
  <c r="M25" i="4"/>
  <c r="M22" i="4"/>
  <c r="M21" i="4"/>
  <c r="M20" i="4"/>
  <c r="M17" i="4"/>
  <c r="M16" i="4"/>
  <c r="M15" i="4"/>
  <c r="M13" i="4"/>
  <c r="M12" i="4"/>
  <c r="M11" i="4"/>
  <c r="L11" i="4"/>
  <c r="B14" i="4" l="1"/>
  <c r="N26" i="5" l="1"/>
  <c r="N23" i="5"/>
  <c r="N22" i="5"/>
  <c r="N19" i="5" l="1"/>
  <c r="N18" i="5"/>
  <c r="N14" i="5"/>
  <c r="H19" i="5"/>
  <c r="H23" i="5"/>
  <c r="H27" i="5"/>
  <c r="H18" i="5"/>
  <c r="H14" i="5"/>
  <c r="N17" i="5"/>
  <c r="H28" i="5" l="1"/>
  <c r="H29" i="5" s="1"/>
  <c r="F21" i="1"/>
  <c r="N21" i="5" l="1"/>
  <c r="N20" i="5"/>
  <c r="N16" i="5"/>
  <c r="N15" i="5"/>
  <c r="N13" i="5"/>
  <c r="N12" i="5"/>
  <c r="N11" i="5"/>
  <c r="G20" i="1" l="1"/>
  <c r="I29" i="1" l="1"/>
  <c r="J26" i="5" l="1"/>
  <c r="J25" i="5"/>
  <c r="J24" i="5"/>
  <c r="J22" i="5"/>
  <c r="J21" i="5"/>
  <c r="J20" i="5"/>
  <c r="J17" i="5"/>
  <c r="J16" i="5" l="1"/>
  <c r="D15" i="1" l="1"/>
  <c r="E15" i="1"/>
  <c r="G11" i="6" l="1"/>
  <c r="F11" i="6"/>
  <c r="C11" i="5"/>
  <c r="D13" i="5" l="1"/>
  <c r="C13" i="5" s="1"/>
  <c r="D17" i="5"/>
  <c r="C17" i="5" s="1"/>
  <c r="D25" i="5"/>
  <c r="C25" i="5" s="1"/>
  <c r="N25" i="5" s="1"/>
  <c r="D24" i="5"/>
  <c r="C24" i="5" s="1"/>
  <c r="N24" i="5" s="1"/>
  <c r="D22" i="5"/>
  <c r="C22" i="5" s="1"/>
  <c r="D21" i="5"/>
  <c r="C21" i="5" s="1"/>
  <c r="D20" i="5"/>
  <c r="C20" i="5" s="1"/>
  <c r="D16" i="5"/>
  <c r="C16" i="5" s="1"/>
  <c r="D15" i="5"/>
  <c r="C15" i="5" s="1"/>
  <c r="D12" i="5"/>
  <c r="C12" i="5" s="1"/>
  <c r="D11" i="5"/>
  <c r="F20" i="1" l="1"/>
  <c r="E11" i="4"/>
  <c r="F11" i="4" s="1"/>
  <c r="D11" i="6"/>
  <c r="G24" i="1" l="1"/>
  <c r="N23" i="4" l="1"/>
  <c r="H22" i="1" l="1"/>
  <c r="H20" i="1"/>
  <c r="H21" i="1"/>
  <c r="H24" i="1"/>
  <c r="H25" i="1"/>
  <c r="H26" i="1"/>
  <c r="H17" i="1"/>
  <c r="H27" i="1" l="1"/>
  <c r="F13" i="1" l="1"/>
  <c r="D13" i="1"/>
  <c r="H12" i="1" l="1"/>
  <c r="H11" i="1"/>
  <c r="G26" i="1"/>
  <c r="G25" i="1"/>
  <c r="G22" i="1"/>
  <c r="G21" i="1"/>
  <c r="G17" i="1"/>
  <c r="G16" i="1"/>
  <c r="G15" i="1"/>
  <c r="G13" i="1"/>
  <c r="G12" i="1"/>
  <c r="E26" i="1"/>
  <c r="E25" i="1"/>
  <c r="E24" i="1"/>
  <c r="E22" i="1"/>
  <c r="E21" i="1"/>
  <c r="E20" i="1"/>
  <c r="E17" i="1"/>
  <c r="E16" i="1"/>
  <c r="E13" i="1"/>
  <c r="E12" i="1"/>
  <c r="E11" i="1"/>
  <c r="D26" i="1"/>
  <c r="D25" i="1"/>
  <c r="D24" i="1"/>
  <c r="D22" i="1"/>
  <c r="D21" i="1"/>
  <c r="D20" i="1"/>
  <c r="D17" i="1"/>
  <c r="D16" i="1"/>
  <c r="D12" i="1"/>
  <c r="D11" i="1"/>
  <c r="C11" i="1"/>
  <c r="C26" i="1"/>
  <c r="C25" i="1"/>
  <c r="C24" i="1"/>
  <c r="C22" i="1"/>
  <c r="C21" i="1"/>
  <c r="C20" i="1"/>
  <c r="C17" i="1"/>
  <c r="C16" i="1"/>
  <c r="C15" i="1"/>
  <c r="C13" i="1"/>
  <c r="C12" i="1"/>
  <c r="B11" i="1"/>
  <c r="L26" i="4" l="1"/>
  <c r="L25" i="4"/>
  <c r="L22" i="4"/>
  <c r="L21" i="4"/>
  <c r="L20" i="4"/>
  <c r="L17" i="4"/>
  <c r="L16" i="4"/>
  <c r="L15" i="4"/>
  <c r="L13" i="4"/>
  <c r="L12" i="4"/>
  <c r="L14" i="4" s="1"/>
  <c r="F11" i="5" l="1"/>
  <c r="G11" i="5" s="1"/>
  <c r="F12" i="1"/>
  <c r="F13" i="5"/>
  <c r="G13" i="5" s="1"/>
  <c r="E14" i="5"/>
  <c r="I14" i="5"/>
  <c r="J14" i="5"/>
  <c r="K14" i="5"/>
  <c r="L14" i="5"/>
  <c r="F15" i="1"/>
  <c r="F16" i="1"/>
  <c r="E18" i="5"/>
  <c r="I18" i="5"/>
  <c r="J18" i="5"/>
  <c r="K18" i="5"/>
  <c r="L18" i="5"/>
  <c r="L19" i="5" s="1"/>
  <c r="F22" i="1"/>
  <c r="F22" i="5"/>
  <c r="G22" i="5" s="1"/>
  <c r="E23" i="5"/>
  <c r="I23" i="5"/>
  <c r="J23" i="5"/>
  <c r="K23" i="5"/>
  <c r="L23" i="5"/>
  <c r="F25" i="1"/>
  <c r="F26" i="1"/>
  <c r="E27" i="5"/>
  <c r="I27" i="5"/>
  <c r="J27" i="5"/>
  <c r="K27" i="5"/>
  <c r="L27" i="5"/>
  <c r="L28" i="5" s="1"/>
  <c r="C23" i="5" l="1"/>
  <c r="F25" i="5"/>
  <c r="G25" i="5" s="1"/>
  <c r="F24" i="1"/>
  <c r="F24" i="5"/>
  <c r="G24" i="5" s="1"/>
  <c r="J28" i="5"/>
  <c r="F21" i="5"/>
  <c r="G21" i="5" s="1"/>
  <c r="E28" i="5"/>
  <c r="F20" i="5"/>
  <c r="G20" i="5" s="1"/>
  <c r="F17" i="1"/>
  <c r="C18" i="5"/>
  <c r="F18" i="5" s="1"/>
  <c r="G18" i="5" s="1"/>
  <c r="I28" i="5"/>
  <c r="K28" i="5"/>
  <c r="K19" i="5"/>
  <c r="F17" i="5"/>
  <c r="G17" i="5" s="1"/>
  <c r="J19" i="5"/>
  <c r="I19" i="5"/>
  <c r="L29" i="5"/>
  <c r="C14" i="5"/>
  <c r="F14" i="5" s="1"/>
  <c r="G14" i="5" s="1"/>
  <c r="F16" i="5"/>
  <c r="G16" i="5" s="1"/>
  <c r="F12" i="5"/>
  <c r="G12" i="5" s="1"/>
  <c r="F26" i="5"/>
  <c r="G26" i="5" s="1"/>
  <c r="E19" i="5"/>
  <c r="F15" i="5"/>
  <c r="G15" i="5" s="1"/>
  <c r="C27" i="5"/>
  <c r="N27" i="5" s="1"/>
  <c r="I11" i="4"/>
  <c r="J11" i="4" s="1"/>
  <c r="K11" i="4" s="1"/>
  <c r="O27" i="4"/>
  <c r="N27" i="4"/>
  <c r="N28" i="4" s="1"/>
  <c r="M27" i="4"/>
  <c r="L27" i="4"/>
  <c r="O23" i="4"/>
  <c r="M23" i="4"/>
  <c r="L23" i="4"/>
  <c r="O18" i="4"/>
  <c r="N18" i="4"/>
  <c r="M18" i="4"/>
  <c r="L18" i="4"/>
  <c r="L19" i="4" s="1"/>
  <c r="O14" i="4"/>
  <c r="N14" i="4"/>
  <c r="M14" i="4"/>
  <c r="O28" i="4" l="1"/>
  <c r="F23" i="5"/>
  <c r="G23" i="5" s="1"/>
  <c r="N19" i="4"/>
  <c r="N29" i="4" s="1"/>
  <c r="M19" i="4"/>
  <c r="I29" i="5"/>
  <c r="L28" i="4"/>
  <c r="L29" i="4" s="1"/>
  <c r="J29" i="5"/>
  <c r="E29" i="5"/>
  <c r="M28" i="4"/>
  <c r="O19" i="4"/>
  <c r="K29" i="5"/>
  <c r="C19" i="5"/>
  <c r="F27" i="5"/>
  <c r="G27" i="5" s="1"/>
  <c r="C28" i="5"/>
  <c r="N28" i="5" s="1"/>
  <c r="G13" i="4"/>
  <c r="H13" i="4" s="1"/>
  <c r="H14" i="6"/>
  <c r="O29" i="4" l="1"/>
  <c r="M29" i="4"/>
  <c r="C29" i="5"/>
  <c r="N29" i="5" s="1"/>
  <c r="F19" i="5"/>
  <c r="G19" i="5" s="1"/>
  <c r="F28" i="5"/>
  <c r="G28" i="5" s="1"/>
  <c r="H27" i="6"/>
  <c r="H23" i="6"/>
  <c r="H18" i="6"/>
  <c r="H19" i="6" s="1"/>
  <c r="D26" i="6"/>
  <c r="F26" i="6" s="1"/>
  <c r="G26" i="6" s="1"/>
  <c r="D25" i="6"/>
  <c r="F25" i="6" s="1"/>
  <c r="G25" i="6" s="1"/>
  <c r="D24" i="6"/>
  <c r="F24" i="6" s="1"/>
  <c r="G24" i="6" s="1"/>
  <c r="D22" i="6"/>
  <c r="F22" i="6" s="1"/>
  <c r="G22" i="6" s="1"/>
  <c r="D21" i="6"/>
  <c r="F21" i="6" s="1"/>
  <c r="G21" i="6" s="1"/>
  <c r="D20" i="6"/>
  <c r="F20" i="6" s="1"/>
  <c r="G20" i="6" s="1"/>
  <c r="D17" i="6"/>
  <c r="F17" i="6" s="1"/>
  <c r="G17" i="6" s="1"/>
  <c r="D16" i="6"/>
  <c r="F16" i="6" s="1"/>
  <c r="G16" i="6" s="1"/>
  <c r="D15" i="6"/>
  <c r="F15" i="6" s="1"/>
  <c r="G15" i="6" s="1"/>
  <c r="D13" i="6"/>
  <c r="F13" i="6" s="1"/>
  <c r="G13" i="6" s="1"/>
  <c r="D12" i="6"/>
  <c r="F12" i="6" s="1"/>
  <c r="G12" i="6" s="1"/>
  <c r="C14" i="6"/>
  <c r="B14" i="6"/>
  <c r="E27" i="6"/>
  <c r="C27" i="6"/>
  <c r="B27" i="6"/>
  <c r="E23" i="6"/>
  <c r="C23" i="6"/>
  <c r="B23" i="6"/>
  <c r="E18" i="6"/>
  <c r="C18" i="6"/>
  <c r="B18" i="6"/>
  <c r="E14" i="6"/>
  <c r="B26" i="1" l="1"/>
  <c r="B12" i="1"/>
  <c r="F29" i="5"/>
  <c r="G29" i="5" s="1"/>
  <c r="H28" i="6"/>
  <c r="H29" i="6" s="1"/>
  <c r="B25" i="1"/>
  <c r="D27" i="6"/>
  <c r="F27" i="6" s="1"/>
  <c r="G27" i="6" s="1"/>
  <c r="B24" i="1"/>
  <c r="B22" i="1"/>
  <c r="B21" i="1"/>
  <c r="B20" i="1"/>
  <c r="D23" i="6"/>
  <c r="F23" i="6" s="1"/>
  <c r="G23" i="6" s="1"/>
  <c r="B17" i="1"/>
  <c r="B16" i="1"/>
  <c r="B15" i="1"/>
  <c r="D18" i="6"/>
  <c r="F18" i="6" s="1"/>
  <c r="G18" i="6" s="1"/>
  <c r="B13" i="1"/>
  <c r="D14" i="6"/>
  <c r="F14" i="6" s="1"/>
  <c r="G14" i="6" s="1"/>
  <c r="C19" i="6"/>
  <c r="B28" i="6"/>
  <c r="E19" i="6"/>
  <c r="E28" i="6"/>
  <c r="B19" i="6"/>
  <c r="C28" i="6"/>
  <c r="D28" i="6" l="1"/>
  <c r="F28" i="6" s="1"/>
  <c r="G28" i="6" s="1"/>
  <c r="D19" i="6"/>
  <c r="F19" i="6" s="1"/>
  <c r="G19" i="6" s="1"/>
  <c r="C29" i="6"/>
  <c r="B29" i="6"/>
  <c r="E29" i="6"/>
  <c r="C14" i="1"/>
  <c r="D29" i="6" l="1"/>
  <c r="F29" i="6" s="1"/>
  <c r="G29" i="6" s="1"/>
  <c r="D27" i="4"/>
  <c r="C27" i="4"/>
  <c r="I27" i="4" s="1"/>
  <c r="B27" i="4"/>
  <c r="I26" i="4"/>
  <c r="J26" i="4" s="1"/>
  <c r="K26" i="4" s="1"/>
  <c r="G26" i="4"/>
  <c r="H26" i="4" s="1"/>
  <c r="E26" i="4"/>
  <c r="F26" i="4" s="1"/>
  <c r="I25" i="4"/>
  <c r="J25" i="4" s="1"/>
  <c r="K25" i="4" s="1"/>
  <c r="G25" i="4"/>
  <c r="H25" i="4" s="1"/>
  <c r="E25" i="4"/>
  <c r="F25" i="4" s="1"/>
  <c r="I24" i="4"/>
  <c r="J24" i="4" s="1"/>
  <c r="K24" i="4" s="1"/>
  <c r="G24" i="4"/>
  <c r="H24" i="4" s="1"/>
  <c r="E24" i="4"/>
  <c r="F24" i="4" s="1"/>
  <c r="D23" i="4"/>
  <c r="C23" i="4"/>
  <c r="I23" i="4" s="1"/>
  <c r="B23" i="4"/>
  <c r="I22" i="4"/>
  <c r="J22" i="4" s="1"/>
  <c r="K22" i="4" s="1"/>
  <c r="G22" i="4"/>
  <c r="H22" i="4" s="1"/>
  <c r="E22" i="4"/>
  <c r="F22" i="4" s="1"/>
  <c r="I21" i="4"/>
  <c r="J21" i="4" s="1"/>
  <c r="K21" i="4" s="1"/>
  <c r="G21" i="4"/>
  <c r="H21" i="4" s="1"/>
  <c r="E21" i="4"/>
  <c r="F21" i="4" s="1"/>
  <c r="I20" i="4"/>
  <c r="J20" i="4" s="1"/>
  <c r="K20" i="4" s="1"/>
  <c r="G20" i="4"/>
  <c r="H20" i="4" s="1"/>
  <c r="E20" i="4"/>
  <c r="F20" i="4" s="1"/>
  <c r="D18" i="4"/>
  <c r="C18" i="4"/>
  <c r="I18" i="4" s="1"/>
  <c r="B18" i="4"/>
  <c r="I17" i="4"/>
  <c r="J17" i="4" s="1"/>
  <c r="K17" i="4" s="1"/>
  <c r="G17" i="4"/>
  <c r="H17" i="4" s="1"/>
  <c r="E17" i="4"/>
  <c r="F17" i="4" s="1"/>
  <c r="I16" i="4"/>
  <c r="J16" i="4" s="1"/>
  <c r="K16" i="4" s="1"/>
  <c r="G16" i="4"/>
  <c r="H16" i="4" s="1"/>
  <c r="E16" i="4"/>
  <c r="F16" i="4" s="1"/>
  <c r="I15" i="4"/>
  <c r="J15" i="4" s="1"/>
  <c r="K15" i="4" s="1"/>
  <c r="G15" i="4"/>
  <c r="H15" i="4" s="1"/>
  <c r="E15" i="4"/>
  <c r="F15" i="4" s="1"/>
  <c r="D14" i="4"/>
  <c r="C14" i="4"/>
  <c r="I13" i="4"/>
  <c r="J13" i="4" s="1"/>
  <c r="K13" i="4" s="1"/>
  <c r="E13" i="4"/>
  <c r="F13" i="4" s="1"/>
  <c r="I12" i="4"/>
  <c r="J12" i="4" s="1"/>
  <c r="K12" i="4" s="1"/>
  <c r="G12" i="4"/>
  <c r="H12" i="4" s="1"/>
  <c r="E12" i="4"/>
  <c r="F12" i="4" s="1"/>
  <c r="G11" i="4"/>
  <c r="H11" i="4" s="1"/>
  <c r="J27" i="4" l="1"/>
  <c r="K27" i="4" s="1"/>
  <c r="J23" i="4"/>
  <c r="K23" i="4" s="1"/>
  <c r="D19" i="4"/>
  <c r="B19" i="4"/>
  <c r="J18" i="4"/>
  <c r="K18" i="4" s="1"/>
  <c r="I14" i="4"/>
  <c r="J14" i="4" s="1"/>
  <c r="K14" i="4" s="1"/>
  <c r="G14" i="4"/>
  <c r="H14" i="4" s="1"/>
  <c r="D28" i="4"/>
  <c r="G18" i="4"/>
  <c r="H18" i="4" s="1"/>
  <c r="E18" i="4"/>
  <c r="F18" i="4" s="1"/>
  <c r="G27" i="4"/>
  <c r="H27" i="4" s="1"/>
  <c r="C19" i="4"/>
  <c r="I19" i="4" s="1"/>
  <c r="B28" i="4"/>
  <c r="E23" i="4"/>
  <c r="F23" i="4" s="1"/>
  <c r="G23" i="4"/>
  <c r="H23" i="4" s="1"/>
  <c r="E14" i="4"/>
  <c r="F14" i="4" s="1"/>
  <c r="E27" i="4"/>
  <c r="F27" i="4" s="1"/>
  <c r="C28" i="4"/>
  <c r="D18" i="1"/>
  <c r="E28" i="4" l="1"/>
  <c r="F28" i="4" s="1"/>
  <c r="J19" i="4"/>
  <c r="K19" i="4" s="1"/>
  <c r="D29" i="4"/>
  <c r="E19" i="4"/>
  <c r="F19" i="4" s="1"/>
  <c r="B29" i="4"/>
  <c r="G28" i="4"/>
  <c r="H28" i="4" s="1"/>
  <c r="G19" i="4"/>
  <c r="H19" i="4" s="1"/>
  <c r="C29" i="4"/>
  <c r="I28" i="4"/>
  <c r="J28" i="4" s="1"/>
  <c r="K28" i="4" s="1"/>
  <c r="K26" i="1"/>
  <c r="K25" i="1"/>
  <c r="K24" i="1"/>
  <c r="K22" i="1"/>
  <c r="K21" i="1"/>
  <c r="K20" i="1"/>
  <c r="K17" i="1"/>
  <c r="K16" i="1"/>
  <c r="K15" i="1"/>
  <c r="K13" i="1"/>
  <c r="K11" i="1"/>
  <c r="K12" i="1"/>
  <c r="E29" i="4" l="1"/>
  <c r="F29" i="4" s="1"/>
  <c r="I29" i="4"/>
  <c r="J29" i="4" s="1"/>
  <c r="K29" i="4" s="1"/>
  <c r="G29" i="4"/>
  <c r="H29" i="4" s="1"/>
  <c r="B14" i="1"/>
  <c r="B18" i="1"/>
  <c r="B23" i="1"/>
  <c r="B27" i="1"/>
  <c r="B19" i="1" l="1"/>
  <c r="B28" i="1"/>
  <c r="H14" i="1"/>
  <c r="H18" i="1"/>
  <c r="H23" i="1"/>
  <c r="G18" i="1"/>
  <c r="F18" i="1"/>
  <c r="C18" i="1"/>
  <c r="E18" i="1"/>
  <c r="G14" i="1"/>
  <c r="E14" i="1"/>
  <c r="D14" i="1"/>
  <c r="D19" i="1" s="1"/>
  <c r="K18" i="1" l="1"/>
  <c r="E19" i="1"/>
  <c r="G19" i="1"/>
  <c r="H28" i="1"/>
  <c r="H19" i="1"/>
  <c r="J19" i="1" s="1"/>
  <c r="I30" i="1" s="1"/>
  <c r="F27" i="1"/>
  <c r="D27" i="1"/>
  <c r="C27" i="1"/>
  <c r="C23" i="1"/>
  <c r="D23" i="1"/>
  <c r="F23" i="1"/>
  <c r="C19" i="1"/>
  <c r="F14" i="1"/>
  <c r="F19" i="1" s="1"/>
  <c r="D28" i="1" l="1"/>
  <c r="D29" i="1" s="1"/>
  <c r="K19" i="1"/>
  <c r="K14" i="1"/>
  <c r="C28" i="1"/>
  <c r="C29" i="1" s="1"/>
  <c r="F28" i="1"/>
  <c r="F29" i="1" s="1"/>
  <c r="G27" i="1"/>
  <c r="G23" i="1"/>
  <c r="E27" i="1"/>
  <c r="E23" i="1"/>
  <c r="E28" i="1" l="1"/>
  <c r="E29" i="1" s="1"/>
  <c r="E30" i="1" s="1"/>
  <c r="K23" i="1"/>
  <c r="K27" i="1"/>
  <c r="B29" i="1"/>
  <c r="C30" i="1" s="1"/>
  <c r="G28" i="1"/>
  <c r="K28" i="1" l="1"/>
  <c r="G29" i="1"/>
  <c r="K29" i="1" s="1"/>
  <c r="G30" i="1" l="1"/>
</calcChain>
</file>

<file path=xl/sharedStrings.xml><?xml version="1.0" encoding="utf-8"?>
<sst xmlns="http://schemas.openxmlformats.org/spreadsheetml/2006/main" count="152" uniqueCount="72">
  <si>
    <t>Leden</t>
  </si>
  <si>
    <t>Únor</t>
  </si>
  <si>
    <t>Březen</t>
  </si>
  <si>
    <t>1.Q</t>
  </si>
  <si>
    <t>Duben</t>
  </si>
  <si>
    <t>Červen</t>
  </si>
  <si>
    <t>Červenec</t>
  </si>
  <si>
    <t>2.Q</t>
  </si>
  <si>
    <t>Srpen</t>
  </si>
  <si>
    <t>Září</t>
  </si>
  <si>
    <t>3.Q</t>
  </si>
  <si>
    <t>Říjen</t>
  </si>
  <si>
    <t xml:space="preserve">Listopad </t>
  </si>
  <si>
    <t>Prosinec</t>
  </si>
  <si>
    <t>Celý rok</t>
  </si>
  <si>
    <t>Elektřina</t>
  </si>
  <si>
    <t xml:space="preserve">Plyn </t>
  </si>
  <si>
    <t>faktura (Kč)</t>
  </si>
  <si>
    <r>
      <t>spotřeba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</si>
  <si>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 xml:space="preserve">Celkem </t>
  </si>
  <si>
    <t>Kč</t>
  </si>
  <si>
    <t>Květen</t>
  </si>
  <si>
    <t>Srážková voda</t>
  </si>
  <si>
    <t>2.Pololetí</t>
  </si>
  <si>
    <t>1.Pololetí</t>
  </si>
  <si>
    <t>Voda + stočné</t>
  </si>
  <si>
    <t>Záloha (Kč)</t>
  </si>
  <si>
    <t>Doplatek (Kč)</t>
  </si>
  <si>
    <t>4.Q</t>
  </si>
  <si>
    <t>Čerpání  energií</t>
  </si>
  <si>
    <t>1kW/h</t>
  </si>
  <si>
    <t>1m³</t>
  </si>
  <si>
    <r>
      <t>fakturované    m</t>
    </r>
    <r>
      <rPr>
        <sz val="11"/>
        <color theme="1"/>
        <rFont val="Calibri"/>
        <family val="2"/>
        <charset val="238"/>
      </rPr>
      <t>³</t>
    </r>
  </si>
  <si>
    <r>
      <t>fakturované    m</t>
    </r>
    <r>
      <rPr>
        <sz val="11"/>
        <color theme="1"/>
        <rFont val="Calibri"/>
        <family val="2"/>
        <charset val="238"/>
      </rPr>
      <t xml:space="preserve">³     </t>
    </r>
  </si>
  <si>
    <t>Spotřeba</t>
  </si>
  <si>
    <t>VT</t>
  </si>
  <si>
    <t>NT</t>
  </si>
  <si>
    <t>Cena</t>
  </si>
  <si>
    <t>Kč/kWh</t>
  </si>
  <si>
    <t>1. Čtvrtletí</t>
  </si>
  <si>
    <t>2. Čtvrtletí</t>
  </si>
  <si>
    <t>1. Pololetí</t>
  </si>
  <si>
    <t>3. Čtvrtletí</t>
  </si>
  <si>
    <t>Listopad</t>
  </si>
  <si>
    <t>4. Čtvrtletí</t>
  </si>
  <si>
    <t>2. Pololetí</t>
  </si>
  <si>
    <t>Teplo</t>
  </si>
  <si>
    <t>Výhřevnost</t>
  </si>
  <si>
    <t>Spalné teplo</t>
  </si>
  <si>
    <t>MWh</t>
  </si>
  <si>
    <t>Gj</t>
  </si>
  <si>
    <t>Kč/Gj</t>
  </si>
  <si>
    <t>Stav</t>
  </si>
  <si>
    <t>Počet dnů</t>
  </si>
  <si>
    <t>Vodné</t>
  </si>
  <si>
    <t>Stočné</t>
  </si>
  <si>
    <t>k fakturaci</t>
  </si>
  <si>
    <t>Věznice Bělušice</t>
  </si>
  <si>
    <t>Celkem</t>
  </si>
  <si>
    <t>kW/h</t>
  </si>
  <si>
    <t>1/4 hod</t>
  </si>
  <si>
    <t>kW/h max.</t>
  </si>
  <si>
    <t>Elektrická energie</t>
  </si>
  <si>
    <t>Kč/kW/h</t>
  </si>
  <si>
    <t>Plyn</t>
  </si>
  <si>
    <t>Denní maximum</t>
  </si>
  <si>
    <t>Voda</t>
  </si>
  <si>
    <r>
      <t>m</t>
    </r>
    <r>
      <rPr>
        <sz val="12"/>
        <color theme="1"/>
        <rFont val="Calibri"/>
        <family val="2"/>
      </rPr>
      <t>³</t>
    </r>
  </si>
  <si>
    <t>spotřeba (kW/h)</t>
  </si>
  <si>
    <t>Cena/m³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</si>
  <si>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</si>
  <si>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Kč/m³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</si>
</sst>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#,##0.000"/>
    <numFmt numFmtId="165" formatCode="0.000"/>
    <numFmt numFmtId="166" formatCode="0.000000"/>
    <numFmt numFmtId="167" formatCode="0.0000"/>
    <numFmt numFmtId="168" formatCode="0.00000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4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7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338">
    <xf numFmtId="0" fontId="0" fillId="0" borderId="0" xfId="0"/>
    <xf numFmtId="0" fontId="0" fillId="0" borderId="4" xfId="0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3" fontId="0" fillId="0" borderId="3" xfId="0" applyNumberFormat="1" applyFont="1" applyBorder="1"/>
    <xf numFmtId="3" fontId="4" fillId="0" borderId="3" xfId="0" applyNumberFormat="1" applyFont="1" applyBorder="1"/>
    <xf numFmtId="3" fontId="5" fillId="0" borderId="3" xfId="0" applyNumberFormat="1" applyFont="1" applyBorder="1"/>
    <xf numFmtId="3" fontId="0" fillId="0" borderId="14" xfId="0" applyNumberFormat="1" applyFont="1" applyBorder="1"/>
    <xf numFmtId="3" fontId="4" fillId="0" borderId="14" xfId="0" applyNumberFormat="1" applyFont="1" applyBorder="1"/>
    <xf numFmtId="3" fontId="5" fillId="0" borderId="14" xfId="0" applyNumberFormat="1" applyFont="1" applyBorder="1"/>
    <xf numFmtId="0" fontId="0" fillId="0" borderId="17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19" xfId="0" applyBorder="1" applyAlignment="1">
      <alignment horizontal="center"/>
    </xf>
    <xf numFmtId="3" fontId="0" fillId="0" borderId="20" xfId="0" applyNumberFormat="1" applyFont="1" applyBorder="1"/>
    <xf numFmtId="3" fontId="0" fillId="0" borderId="7" xfId="0" applyNumberFormat="1" applyFont="1" applyBorder="1"/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1" xfId="0" applyFont="1" applyBorder="1" applyAlignment="1">
      <alignment horizontal="center"/>
    </xf>
    <xf numFmtId="3" fontId="5" fillId="0" borderId="22" xfId="0" applyNumberFormat="1" applyFont="1" applyBorder="1"/>
    <xf numFmtId="3" fontId="5" fillId="0" borderId="23" xfId="0" applyNumberFormat="1" applyFont="1" applyBorder="1"/>
    <xf numFmtId="0" fontId="6" fillId="0" borderId="11" xfId="0" applyFont="1" applyBorder="1" applyAlignment="1">
      <alignment horizontal="center"/>
    </xf>
    <xf numFmtId="3" fontId="6" fillId="0" borderId="24" xfId="0" applyNumberFormat="1" applyFont="1" applyBorder="1"/>
    <xf numFmtId="3" fontId="6" fillId="0" borderId="9" xfId="0" applyNumberFormat="1" applyFont="1" applyBorder="1"/>
    <xf numFmtId="0" fontId="0" fillId="0" borderId="26" xfId="0" applyBorder="1" applyAlignment="1">
      <alignment horizontal="center"/>
    </xf>
    <xf numFmtId="3" fontId="0" fillId="0" borderId="27" xfId="0" applyNumberFormat="1" applyFont="1" applyBorder="1"/>
    <xf numFmtId="3" fontId="0" fillId="0" borderId="28" xfId="0" applyNumberFormat="1" applyFont="1" applyBorder="1"/>
    <xf numFmtId="3" fontId="4" fillId="0" borderId="28" xfId="0" applyNumberFormat="1" applyFont="1" applyBorder="1"/>
    <xf numFmtId="3" fontId="5" fillId="0" borderId="28" xfId="0" applyNumberFormat="1" applyFont="1" applyBorder="1"/>
    <xf numFmtId="3" fontId="5" fillId="0" borderId="29" xfId="0" applyNumberFormat="1" applyFont="1" applyBorder="1"/>
    <xf numFmtId="3" fontId="6" fillId="0" borderId="30" xfId="0" applyNumberFormat="1" applyFont="1" applyBorder="1"/>
    <xf numFmtId="0" fontId="0" fillId="0" borderId="18" xfId="0" applyBorder="1" applyAlignment="1">
      <alignment horizontal="center"/>
    </xf>
    <xf numFmtId="3" fontId="0" fillId="0" borderId="19" xfId="0" applyNumberFormat="1" applyFont="1" applyBorder="1"/>
    <xf numFmtId="3" fontId="0" fillId="0" borderId="17" xfId="0" applyNumberFormat="1" applyFont="1" applyBorder="1"/>
    <xf numFmtId="3" fontId="4" fillId="0" borderId="17" xfId="0" applyNumberFormat="1" applyFont="1" applyBorder="1"/>
    <xf numFmtId="3" fontId="5" fillId="0" borderId="17" xfId="0" applyNumberFormat="1" applyFont="1" applyBorder="1"/>
    <xf numFmtId="3" fontId="6" fillId="0" borderId="11" xfId="0" applyNumberFormat="1" applyFont="1" applyBorder="1"/>
    <xf numFmtId="3" fontId="0" fillId="0" borderId="6" xfId="0" applyNumberFormat="1" applyFont="1" applyBorder="1"/>
    <xf numFmtId="3" fontId="0" fillId="0" borderId="2" xfId="0" applyNumberFormat="1" applyFont="1" applyBorder="1"/>
    <xf numFmtId="3" fontId="4" fillId="0" borderId="2" xfId="0" applyNumberFormat="1" applyFont="1" applyBorder="1"/>
    <xf numFmtId="3" fontId="5" fillId="0" borderId="2" xfId="0" applyNumberFormat="1" applyFont="1" applyBorder="1"/>
    <xf numFmtId="3" fontId="5" fillId="0" borderId="10" xfId="0" applyNumberFormat="1" applyFont="1" applyBorder="1"/>
    <xf numFmtId="3" fontId="6" fillId="0" borderId="8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11" xfId="0" applyFont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/>
    <xf numFmtId="0" fontId="0" fillId="2" borderId="34" xfId="0" applyFill="1" applyBorder="1"/>
    <xf numFmtId="0" fontId="0" fillId="2" borderId="35" xfId="0" applyFill="1" applyBorder="1"/>
    <xf numFmtId="3" fontId="0" fillId="0" borderId="37" xfId="0" applyNumberFormat="1" applyFont="1" applyBorder="1"/>
    <xf numFmtId="3" fontId="4" fillId="0" borderId="38" xfId="0" applyNumberFormat="1" applyFont="1" applyBorder="1"/>
    <xf numFmtId="3" fontId="0" fillId="0" borderId="16" xfId="0" applyNumberFormat="1" applyFont="1" applyBorder="1"/>
    <xf numFmtId="3" fontId="4" fillId="0" borderId="21" xfId="0" applyNumberFormat="1" applyFont="1" applyBorder="1"/>
    <xf numFmtId="3" fontId="5" fillId="0" borderId="18" xfId="0" applyNumberFormat="1" applyFont="1" applyBorder="1"/>
    <xf numFmtId="3" fontId="5" fillId="0" borderId="39" xfId="0" applyNumberFormat="1" applyFont="1" applyBorder="1"/>
    <xf numFmtId="0" fontId="0" fillId="0" borderId="2" xfId="0" applyBorder="1" applyAlignment="1">
      <alignment horizontal="center"/>
    </xf>
    <xf numFmtId="0" fontId="0" fillId="4" borderId="34" xfId="0" applyFill="1" applyBorder="1"/>
    <xf numFmtId="0" fontId="0" fillId="4" borderId="35" xfId="0" applyFill="1" applyBorder="1"/>
    <xf numFmtId="0" fontId="0" fillId="4" borderId="36" xfId="0" applyFill="1" applyBorder="1"/>
    <xf numFmtId="3" fontId="0" fillId="0" borderId="54" xfId="0" applyNumberFormat="1" applyFont="1" applyBorder="1"/>
    <xf numFmtId="3" fontId="0" fillId="0" borderId="56" xfId="0" applyNumberFormat="1" applyFont="1" applyBorder="1"/>
    <xf numFmtId="3" fontId="5" fillId="0" borderId="8" xfId="0" applyNumberFormat="1" applyFont="1" applyBorder="1"/>
    <xf numFmtId="3" fontId="5" fillId="0" borderId="58" xfId="0" applyNumberFormat="1" applyFont="1" applyBorder="1"/>
    <xf numFmtId="3" fontId="5" fillId="0" borderId="9" xfId="0" applyNumberFormat="1" applyFont="1" applyBorder="1"/>
    <xf numFmtId="3" fontId="0" fillId="0" borderId="10" xfId="0" applyNumberFormat="1" applyFont="1" applyBorder="1"/>
    <xf numFmtId="3" fontId="0" fillId="0" borderId="57" xfId="0" applyNumberFormat="1" applyFont="1" applyBorder="1"/>
    <xf numFmtId="3" fontId="0" fillId="0" borderId="23" xfId="0" applyNumberFormat="1" applyFont="1" applyBorder="1"/>
    <xf numFmtId="3" fontId="4" fillId="0" borderId="8" xfId="0" applyNumberFormat="1" applyFont="1" applyBorder="1"/>
    <xf numFmtId="3" fontId="4" fillId="0" borderId="58" xfId="0" applyNumberFormat="1" applyFont="1" applyBorder="1"/>
    <xf numFmtId="3" fontId="4" fillId="0" borderId="9" xfId="0" applyNumberFormat="1" applyFont="1" applyBorder="1"/>
    <xf numFmtId="3" fontId="0" fillId="0" borderId="6" xfId="0" applyNumberFormat="1" applyFont="1" applyBorder="1" applyAlignment="1">
      <alignment horizontal="right"/>
    </xf>
    <xf numFmtId="4" fontId="0" fillId="0" borderId="7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0" fillId="0" borderId="23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21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3" fontId="16" fillId="0" borderId="8" xfId="0" applyNumberFormat="1" applyFont="1" applyBorder="1"/>
    <xf numFmtId="3" fontId="16" fillId="0" borderId="58" xfId="0" applyNumberFormat="1" applyFont="1" applyBorder="1"/>
    <xf numFmtId="3" fontId="16" fillId="0" borderId="9" xfId="0" applyNumberFormat="1" applyFont="1" applyBorder="1"/>
    <xf numFmtId="4" fontId="16" fillId="0" borderId="9" xfId="0" applyNumberFormat="1" applyFont="1" applyBorder="1" applyAlignment="1">
      <alignment horizontal="center"/>
    </xf>
    <xf numFmtId="3" fontId="16" fillId="0" borderId="11" xfId="0" applyNumberFormat="1" applyFont="1" applyBorder="1" applyAlignment="1">
      <alignment horizontal="center"/>
    </xf>
    <xf numFmtId="0" fontId="0" fillId="2" borderId="36" xfId="0" applyFill="1" applyBorder="1"/>
    <xf numFmtId="3" fontId="15" fillId="0" borderId="24" xfId="0" applyNumberFormat="1" applyFont="1" applyFill="1" applyBorder="1" applyAlignment="1">
      <alignment horizontal="center"/>
    </xf>
    <xf numFmtId="164" fontId="15" fillId="0" borderId="9" xfId="0" applyNumberFormat="1" applyFont="1" applyFill="1" applyBorder="1" applyAlignment="1">
      <alignment horizontal="center"/>
    </xf>
    <xf numFmtId="3" fontId="15" fillId="0" borderId="59" xfId="0" applyNumberFormat="1" applyFont="1" applyFill="1" applyBorder="1" applyAlignment="1">
      <alignment horizontal="center"/>
    </xf>
    <xf numFmtId="164" fontId="15" fillId="0" borderId="60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6" fillId="0" borderId="55" xfId="1" applyNumberFormat="1" applyFont="1" applyBorder="1"/>
    <xf numFmtId="3" fontId="5" fillId="0" borderId="54" xfId="1" applyNumberFormat="1" applyFont="1" applyBorder="1"/>
    <xf numFmtId="3" fontId="0" fillId="0" borderId="54" xfId="1" applyNumberFormat="1" applyFont="1" applyBorder="1"/>
    <xf numFmtId="3" fontId="0" fillId="0" borderId="54" xfId="1" applyNumberFormat="1" applyFont="1" applyBorder="1" applyAlignment="1"/>
    <xf numFmtId="3" fontId="0" fillId="0" borderId="54" xfId="1" applyNumberFormat="1" applyFont="1" applyBorder="1" applyAlignment="1">
      <alignment horizontal="right"/>
    </xf>
    <xf numFmtId="3" fontId="0" fillId="0" borderId="54" xfId="0" applyNumberFormat="1" applyBorder="1" applyAlignment="1">
      <alignment horizontal="center"/>
    </xf>
    <xf numFmtId="3" fontId="4" fillId="0" borderId="54" xfId="1" applyNumberFormat="1" applyFont="1" applyBorder="1"/>
    <xf numFmtId="3" fontId="4" fillId="0" borderId="54" xfId="1" applyNumberFormat="1" applyFont="1" applyBorder="1" applyAlignment="1"/>
    <xf numFmtId="3" fontId="4" fillId="0" borderId="54" xfId="0" applyNumberFormat="1" applyFont="1" applyBorder="1" applyAlignment="1">
      <alignment horizontal="center"/>
    </xf>
    <xf numFmtId="3" fontId="5" fillId="0" borderId="54" xfId="1" applyNumberFormat="1" applyFont="1" applyBorder="1" applyAlignment="1"/>
    <xf numFmtId="3" fontId="5" fillId="0" borderId="54" xfId="0" applyNumberFormat="1" applyFont="1" applyBorder="1" applyAlignment="1">
      <alignment horizontal="center"/>
    </xf>
    <xf numFmtId="3" fontId="6" fillId="0" borderId="55" xfId="1" applyNumberFormat="1" applyFont="1" applyBorder="1" applyAlignment="1"/>
    <xf numFmtId="3" fontId="6" fillId="0" borderId="55" xfId="0" applyNumberFormat="1" applyFont="1" applyBorder="1" applyAlignment="1">
      <alignment horizontal="center"/>
    </xf>
    <xf numFmtId="4" fontId="0" fillId="0" borderId="54" xfId="1" applyNumberFormat="1" applyFont="1" applyBorder="1" applyAlignment="1">
      <alignment horizontal="center"/>
    </xf>
    <xf numFmtId="4" fontId="4" fillId="0" borderId="54" xfId="1" applyNumberFormat="1" applyFont="1" applyBorder="1" applyAlignment="1">
      <alignment horizontal="center"/>
    </xf>
    <xf numFmtId="4" fontId="5" fillId="0" borderId="54" xfId="1" applyNumberFormat="1" applyFont="1" applyBorder="1" applyAlignment="1">
      <alignment horizontal="center"/>
    </xf>
    <xf numFmtId="4" fontId="6" fillId="0" borderId="55" xfId="1" applyNumberFormat="1" applyFont="1" applyBorder="1" applyAlignment="1">
      <alignment horizontal="center"/>
    </xf>
    <xf numFmtId="4" fontId="0" fillId="0" borderId="54" xfId="1" applyNumberFormat="1" applyFont="1" applyBorder="1"/>
    <xf numFmtId="4" fontId="4" fillId="0" borderId="54" xfId="1" applyNumberFormat="1" applyFont="1" applyBorder="1"/>
    <xf numFmtId="4" fontId="5" fillId="0" borderId="54" xfId="1" applyNumberFormat="1" applyFont="1" applyBorder="1"/>
    <xf numFmtId="4" fontId="6" fillId="0" borderId="55" xfId="1" applyNumberFormat="1" applyFont="1" applyBorder="1"/>
    <xf numFmtId="4" fontId="0" fillId="0" borderId="3" xfId="1" applyNumberFormat="1" applyFont="1" applyBorder="1"/>
    <xf numFmtId="4" fontId="4" fillId="0" borderId="3" xfId="1" applyNumberFormat="1" applyFont="1" applyBorder="1"/>
    <xf numFmtId="4" fontId="5" fillId="0" borderId="3" xfId="1" applyNumberFormat="1" applyFont="1" applyBorder="1"/>
    <xf numFmtId="4" fontId="6" fillId="0" borderId="5" xfId="1" applyNumberFormat="1" applyFont="1" applyBorder="1"/>
    <xf numFmtId="4" fontId="0" fillId="0" borderId="54" xfId="1" applyNumberFormat="1" applyFont="1" applyBorder="1" applyAlignment="1">
      <alignment horizontal="right"/>
    </xf>
    <xf numFmtId="4" fontId="0" fillId="0" borderId="54" xfId="1" applyNumberFormat="1" applyFont="1" applyBorder="1" applyAlignment="1"/>
    <xf numFmtId="4" fontId="4" fillId="0" borderId="54" xfId="1" applyNumberFormat="1" applyFont="1" applyBorder="1" applyAlignment="1"/>
    <xf numFmtId="4" fontId="5" fillId="0" borderId="54" xfId="1" applyNumberFormat="1" applyFont="1" applyBorder="1" applyAlignment="1"/>
    <xf numFmtId="4" fontId="6" fillId="0" borderId="55" xfId="1" applyNumberFormat="1" applyFont="1" applyBorder="1" applyAlignment="1"/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21" fillId="0" borderId="38" xfId="0" applyNumberFormat="1" applyFont="1" applyFill="1" applyBorder="1" applyAlignment="1"/>
    <xf numFmtId="164" fontId="21" fillId="0" borderId="44" xfId="0" applyNumberFormat="1" applyFont="1" applyFill="1" applyBorder="1" applyAlignment="1"/>
    <xf numFmtId="164" fontId="22" fillId="0" borderId="32" xfId="0" applyNumberFormat="1" applyFont="1" applyFill="1" applyBorder="1" applyAlignment="1"/>
    <xf numFmtId="164" fontId="21" fillId="0" borderId="44" xfId="0" applyNumberFormat="1" applyFont="1" applyFill="1" applyBorder="1"/>
    <xf numFmtId="164" fontId="22" fillId="0" borderId="32" xfId="0" applyNumberFormat="1" applyFont="1" applyFill="1" applyBorder="1"/>
    <xf numFmtId="164" fontId="23" fillId="0" borderId="11" xfId="0" applyNumberFormat="1" applyFont="1" applyFill="1" applyBorder="1"/>
    <xf numFmtId="164" fontId="21" fillId="0" borderId="0" xfId="0" applyNumberFormat="1" applyFont="1" applyFill="1" applyBorder="1"/>
    <xf numFmtId="164" fontId="24" fillId="0" borderId="11" xfId="0" applyNumberFormat="1" applyFont="1" applyFill="1" applyBorder="1"/>
    <xf numFmtId="3" fontId="0" fillId="0" borderId="0" xfId="0" applyNumberFormat="1" applyFont="1" applyBorder="1"/>
    <xf numFmtId="4" fontId="21" fillId="0" borderId="21" xfId="0" applyNumberFormat="1" applyFont="1" applyFill="1" applyBorder="1"/>
    <xf numFmtId="0" fontId="4" fillId="0" borderId="53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4" fontId="0" fillId="0" borderId="37" xfId="0" applyNumberFormat="1" applyFont="1" applyBorder="1" applyAlignment="1">
      <alignment horizontal="center"/>
    </xf>
    <xf numFmtId="4" fontId="0" fillId="0" borderId="38" xfId="0" applyNumberFormat="1" applyFont="1" applyBorder="1" applyAlignment="1">
      <alignment horizontal="center"/>
    </xf>
    <xf numFmtId="4" fontId="0" fillId="0" borderId="44" xfId="0" applyNumberFormat="1" applyFont="1" applyBorder="1" applyAlignment="1">
      <alignment horizontal="center"/>
    </xf>
    <xf numFmtId="4" fontId="4" fillId="0" borderId="32" xfId="0" applyNumberFormat="1" applyFont="1" applyBorder="1" applyAlignment="1">
      <alignment horizontal="center"/>
    </xf>
    <xf numFmtId="4" fontId="5" fillId="0" borderId="32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16" fillId="0" borderId="32" xfId="0" applyNumberFormat="1" applyFont="1" applyBorder="1" applyAlignment="1">
      <alignment horizontal="center"/>
    </xf>
    <xf numFmtId="4" fontId="0" fillId="0" borderId="0" xfId="0" applyNumberFormat="1"/>
    <xf numFmtId="1" fontId="0" fillId="0" borderId="0" xfId="0" applyNumberFormat="1"/>
    <xf numFmtId="1" fontId="4" fillId="0" borderId="0" xfId="0" applyNumberFormat="1" applyFont="1"/>
    <xf numFmtId="0" fontId="0" fillId="0" borderId="0" xfId="0" applyBorder="1" applyAlignment="1">
      <alignment horizontal="center" textRotation="180"/>
    </xf>
    <xf numFmtId="3" fontId="0" fillId="0" borderId="0" xfId="0" applyNumberFormat="1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0" fillId="0" borderId="63" xfId="0" applyBorder="1" applyAlignment="1">
      <alignment horizontal="center"/>
    </xf>
    <xf numFmtId="3" fontId="0" fillId="0" borderId="37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4" fontId="5" fillId="0" borderId="38" xfId="0" applyNumberFormat="1" applyFont="1" applyBorder="1"/>
    <xf numFmtId="0" fontId="0" fillId="0" borderId="35" xfId="0" applyNumberFormat="1" applyFill="1" applyBorder="1"/>
    <xf numFmtId="4" fontId="8" fillId="0" borderId="30" xfId="0" applyNumberFormat="1" applyFont="1" applyBorder="1" applyAlignment="1">
      <alignment horizontal="center"/>
    </xf>
    <xf numFmtId="3" fontId="0" fillId="0" borderId="0" xfId="0" applyNumberFormat="1"/>
    <xf numFmtId="1" fontId="5" fillId="0" borderId="0" xfId="0" applyNumberFormat="1" applyFont="1"/>
    <xf numFmtId="1" fontId="6" fillId="0" borderId="0" xfId="0" applyNumberFormat="1" applyFont="1"/>
    <xf numFmtId="3" fontId="0" fillId="0" borderId="64" xfId="0" applyNumberFormat="1" applyFill="1" applyBorder="1" applyAlignment="1">
      <alignment horizontal="center"/>
    </xf>
    <xf numFmtId="3" fontId="21" fillId="0" borderId="21" xfId="0" applyNumberFormat="1" applyFont="1" applyFill="1" applyBorder="1"/>
    <xf numFmtId="0" fontId="1" fillId="0" borderId="0" xfId="0" applyFont="1"/>
    <xf numFmtId="0" fontId="1" fillId="5" borderId="31" xfId="0" applyFont="1" applyFill="1" applyBorder="1"/>
    <xf numFmtId="0" fontId="1" fillId="5" borderId="32" xfId="0" applyFont="1" applyFill="1" applyBorder="1"/>
    <xf numFmtId="0" fontId="26" fillId="0" borderId="16" xfId="0" applyFont="1" applyBorder="1" applyAlignment="1">
      <alignment horizontal="center"/>
    </xf>
    <xf numFmtId="0" fontId="26" fillId="0" borderId="45" xfId="0" applyFont="1" applyBorder="1" applyAlignment="1">
      <alignment horizontal="center"/>
    </xf>
    <xf numFmtId="0" fontId="27" fillId="0" borderId="0" xfId="0" applyFont="1"/>
    <xf numFmtId="0" fontId="28" fillId="0" borderId="42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/>
    </xf>
    <xf numFmtId="0" fontId="28" fillId="0" borderId="4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46" xfId="0" applyFont="1" applyBorder="1" applyAlignment="1">
      <alignment horizontal="center"/>
    </xf>
    <xf numFmtId="0" fontId="28" fillId="0" borderId="47" xfId="0" applyFont="1" applyFill="1" applyBorder="1" applyAlignment="1">
      <alignment horizontal="left"/>
    </xf>
    <xf numFmtId="3" fontId="1" fillId="0" borderId="19" xfId="0" applyNumberFormat="1" applyFont="1" applyFill="1" applyBorder="1"/>
    <xf numFmtId="164" fontId="1" fillId="0" borderId="37" xfId="0" applyNumberFormat="1" applyFont="1" applyFill="1" applyBorder="1" applyAlignment="1"/>
    <xf numFmtId="4" fontId="1" fillId="0" borderId="19" xfId="0" applyNumberFormat="1" applyFont="1" applyFill="1" applyBorder="1"/>
    <xf numFmtId="2" fontId="1" fillId="0" borderId="37" xfId="0" applyNumberFormat="1" applyFon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3" fontId="1" fillId="0" borderId="37" xfId="0" applyNumberFormat="1" applyFont="1" applyFill="1" applyBorder="1"/>
    <xf numFmtId="2" fontId="1" fillId="0" borderId="47" xfId="0" applyNumberFormat="1" applyFont="1" applyFill="1" applyBorder="1"/>
    <xf numFmtId="166" fontId="1" fillId="0" borderId="51" xfId="0" applyNumberFormat="1" applyFont="1" applyBorder="1" applyAlignment="1">
      <alignment horizontal="center"/>
    </xf>
    <xf numFmtId="167" fontId="1" fillId="0" borderId="16" xfId="0" applyNumberFormat="1" applyFont="1" applyBorder="1" applyAlignment="1">
      <alignment horizontal="center"/>
    </xf>
    <xf numFmtId="3" fontId="1" fillId="0" borderId="13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/>
    </xf>
    <xf numFmtId="0" fontId="28" fillId="0" borderId="48" xfId="0" applyFont="1" applyFill="1" applyBorder="1" applyAlignment="1">
      <alignment horizontal="left"/>
    </xf>
    <xf numFmtId="3" fontId="1" fillId="0" borderId="17" xfId="0" applyNumberFormat="1" applyFont="1" applyFill="1" applyBorder="1"/>
    <xf numFmtId="4" fontId="1" fillId="0" borderId="17" xfId="0" applyNumberFormat="1" applyFont="1" applyFill="1" applyBorder="1"/>
    <xf numFmtId="2" fontId="1" fillId="0" borderId="38" xfId="0" applyNumberFormat="1" applyFont="1" applyFill="1" applyBorder="1" applyAlignment="1">
      <alignment horizontal="center"/>
    </xf>
    <xf numFmtId="166" fontId="1" fillId="0" borderId="48" xfId="0" applyNumberFormat="1" applyFont="1" applyBorder="1" applyAlignment="1">
      <alignment horizontal="center"/>
    </xf>
    <xf numFmtId="167" fontId="1" fillId="0" borderId="17" xfId="0" applyNumberFormat="1" applyFont="1" applyBorder="1" applyAlignment="1">
      <alignment horizontal="center"/>
    </xf>
    <xf numFmtId="3" fontId="1" fillId="0" borderId="14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0" fontId="28" fillId="0" borderId="49" xfId="0" applyFont="1" applyFill="1" applyBorder="1" applyAlignment="1">
      <alignment horizontal="left"/>
    </xf>
    <xf numFmtId="3" fontId="1" fillId="0" borderId="21" xfId="0" applyNumberFormat="1" applyFont="1" applyFill="1" applyBorder="1"/>
    <xf numFmtId="2" fontId="1" fillId="0" borderId="44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52" xfId="0" applyNumberFormat="1" applyFont="1" applyFill="1" applyBorder="1"/>
    <xf numFmtId="166" fontId="1" fillId="0" borderId="49" xfId="0" applyNumberFormat="1" applyFont="1" applyBorder="1" applyAlignment="1">
      <alignment horizontal="center"/>
    </xf>
    <xf numFmtId="167" fontId="1" fillId="0" borderId="21" xfId="0" applyNumberFormat="1" applyFont="1" applyBorder="1" applyAlignment="1">
      <alignment horizontal="center"/>
    </xf>
    <xf numFmtId="3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0" fontId="22" fillId="0" borderId="31" xfId="0" applyFont="1" applyFill="1" applyBorder="1" applyAlignment="1">
      <alignment horizontal="left"/>
    </xf>
    <xf numFmtId="3" fontId="22" fillId="0" borderId="11" xfId="0" applyNumberFormat="1" applyFont="1" applyFill="1" applyBorder="1"/>
    <xf numFmtId="4" fontId="22" fillId="0" borderId="11" xfId="0" applyNumberFormat="1" applyFont="1" applyFill="1" applyBorder="1"/>
    <xf numFmtId="2" fontId="22" fillId="0" borderId="32" xfId="0" applyNumberFormat="1" applyFont="1" applyFill="1" applyBorder="1" applyAlignment="1">
      <alignment horizontal="center"/>
    </xf>
    <xf numFmtId="2" fontId="22" fillId="0" borderId="11" xfId="0" applyNumberFormat="1" applyFont="1" applyFill="1" applyBorder="1" applyAlignment="1">
      <alignment horizontal="center"/>
    </xf>
    <xf numFmtId="3" fontId="22" fillId="0" borderId="32" xfId="0" applyNumberFormat="1" applyFont="1" applyFill="1" applyBorder="1"/>
    <xf numFmtId="2" fontId="22" fillId="0" borderId="31" xfId="0" applyNumberFormat="1" applyFont="1" applyFill="1" applyBorder="1"/>
    <xf numFmtId="166" fontId="22" fillId="0" borderId="31" xfId="0" applyNumberFormat="1" applyFont="1" applyFill="1" applyBorder="1" applyAlignment="1">
      <alignment horizontal="center"/>
    </xf>
    <xf numFmtId="167" fontId="22" fillId="0" borderId="11" xfId="0" applyNumberFormat="1" applyFont="1" applyFill="1" applyBorder="1" applyAlignment="1">
      <alignment horizontal="center"/>
    </xf>
    <xf numFmtId="1" fontId="22" fillId="0" borderId="24" xfId="0" applyNumberFormat="1" applyFont="1" applyFill="1" applyBorder="1" applyAlignment="1">
      <alignment horizontal="center"/>
    </xf>
    <xf numFmtId="165" fontId="22" fillId="0" borderId="9" xfId="0" applyNumberFormat="1" applyFont="1" applyFill="1" applyBorder="1" applyAlignment="1">
      <alignment horizontal="center"/>
    </xf>
    <xf numFmtId="0" fontId="30" fillId="0" borderId="0" xfId="0" applyFont="1"/>
    <xf numFmtId="3" fontId="1" fillId="0" borderId="16" xfId="0" applyNumberFormat="1" applyFont="1" applyFill="1" applyBorder="1"/>
    <xf numFmtId="164" fontId="1" fillId="0" borderId="45" xfId="0" applyNumberFormat="1" applyFont="1" applyFill="1" applyBorder="1"/>
    <xf numFmtId="4" fontId="1" fillId="0" borderId="16" xfId="0" applyNumberFormat="1" applyFont="1" applyFill="1" applyBorder="1"/>
    <xf numFmtId="166" fontId="1" fillId="0" borderId="47" xfId="0" applyNumberFormat="1" applyFont="1" applyBorder="1" applyAlignment="1">
      <alignment horizontal="center"/>
    </xf>
    <xf numFmtId="167" fontId="1" fillId="0" borderId="19" xfId="0" applyNumberFormat="1" applyFont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1" fillId="0" borderId="38" xfId="0" applyNumberFormat="1" applyFont="1" applyFill="1" applyBorder="1"/>
    <xf numFmtId="4" fontId="1" fillId="0" borderId="17" xfId="0" applyNumberFormat="1" applyFont="1" applyFill="1" applyBorder="1" applyAlignment="1">
      <alignment wrapText="1"/>
    </xf>
    <xf numFmtId="2" fontId="1" fillId="0" borderId="17" xfId="0" applyNumberFormat="1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2" fontId="1" fillId="0" borderId="41" xfId="0" applyNumberFormat="1" applyFont="1" applyFill="1" applyBorder="1" applyAlignment="1">
      <alignment horizontal="center"/>
    </xf>
    <xf numFmtId="166" fontId="1" fillId="0" borderId="49" xfId="0" applyNumberFormat="1" applyFont="1" applyFill="1" applyBorder="1" applyAlignment="1">
      <alignment horizontal="center"/>
    </xf>
    <xf numFmtId="167" fontId="1" fillId="0" borderId="21" xfId="0" applyNumberFormat="1" applyFont="1" applyFill="1" applyBorder="1" applyAlignment="1">
      <alignment horizontal="center"/>
    </xf>
    <xf numFmtId="0" fontId="23" fillId="0" borderId="31" xfId="0" applyFont="1" applyFill="1" applyBorder="1" applyAlignment="1">
      <alignment horizontal="left"/>
    </xf>
    <xf numFmtId="3" fontId="23" fillId="0" borderId="11" xfId="0" applyNumberFormat="1" applyFont="1" applyFill="1" applyBorder="1"/>
    <xf numFmtId="4" fontId="23" fillId="0" borderId="11" xfId="0" applyNumberFormat="1" applyFont="1" applyFill="1" applyBorder="1"/>
    <xf numFmtId="2" fontId="23" fillId="0" borderId="32" xfId="0" applyNumberFormat="1" applyFont="1" applyFill="1" applyBorder="1" applyAlignment="1">
      <alignment horizontal="center"/>
    </xf>
    <xf numFmtId="2" fontId="23" fillId="0" borderId="11" xfId="0" applyNumberFormat="1" applyFont="1" applyFill="1" applyBorder="1" applyAlignment="1">
      <alignment horizontal="center"/>
    </xf>
    <xf numFmtId="3" fontId="23" fillId="0" borderId="32" xfId="0" applyNumberFormat="1" applyFont="1" applyFill="1" applyBorder="1"/>
    <xf numFmtId="2" fontId="23" fillId="0" borderId="50" xfId="0" applyNumberFormat="1" applyFont="1" applyFill="1" applyBorder="1"/>
    <xf numFmtId="166" fontId="23" fillId="0" borderId="31" xfId="0" applyNumberFormat="1" applyFont="1" applyFill="1" applyBorder="1" applyAlignment="1">
      <alignment horizontal="center"/>
    </xf>
    <xf numFmtId="167" fontId="23" fillId="0" borderId="11" xfId="0" applyNumberFormat="1" applyFont="1" applyFill="1" applyBorder="1" applyAlignment="1">
      <alignment horizontal="center"/>
    </xf>
    <xf numFmtId="0" fontId="31" fillId="0" borderId="0" xfId="0" applyFont="1"/>
    <xf numFmtId="0" fontId="28" fillId="0" borderId="51" xfId="0" applyFont="1" applyFill="1" applyBorder="1" applyAlignment="1">
      <alignment horizontal="left"/>
    </xf>
    <xf numFmtId="164" fontId="1" fillId="0" borderId="35" xfId="0" applyNumberFormat="1" applyFont="1" applyFill="1" applyBorder="1"/>
    <xf numFmtId="2" fontId="1" fillId="0" borderId="45" xfId="0" applyNumberFormat="1" applyFont="1" applyFill="1" applyBorder="1" applyAlignment="1">
      <alignment horizontal="center"/>
    </xf>
    <xf numFmtId="2" fontId="1" fillId="0" borderId="16" xfId="0" applyNumberFormat="1" applyFont="1" applyFill="1" applyBorder="1" applyAlignment="1">
      <alignment horizontal="center"/>
    </xf>
    <xf numFmtId="166" fontId="1" fillId="3" borderId="47" xfId="0" applyNumberFormat="1" applyFont="1" applyFill="1" applyBorder="1" applyAlignment="1">
      <alignment horizontal="center"/>
    </xf>
    <xf numFmtId="167" fontId="1" fillId="3" borderId="19" xfId="0" applyNumberFormat="1" applyFont="1" applyFill="1" applyBorder="1" applyAlignment="1">
      <alignment horizontal="center"/>
    </xf>
    <xf numFmtId="3" fontId="1" fillId="0" borderId="20" xfId="0" applyNumberFormat="1" applyFont="1" applyFill="1" applyBorder="1" applyAlignment="1">
      <alignment horizontal="center"/>
    </xf>
    <xf numFmtId="0" fontId="28" fillId="0" borderId="34" xfId="0" applyFont="1" applyFill="1" applyBorder="1" applyAlignment="1">
      <alignment horizontal="left"/>
    </xf>
    <xf numFmtId="164" fontId="1" fillId="0" borderId="37" xfId="0" applyNumberFormat="1" applyFont="1" applyFill="1" applyBorder="1"/>
    <xf numFmtId="4" fontId="21" fillId="0" borderId="40" xfId="0" applyNumberFormat="1" applyFont="1" applyFill="1" applyBorder="1"/>
    <xf numFmtId="3" fontId="21" fillId="0" borderId="17" xfId="0" applyNumberFormat="1" applyFont="1" applyFill="1" applyBorder="1"/>
    <xf numFmtId="4" fontId="21" fillId="0" borderId="17" xfId="0" applyNumberFormat="1" applyFont="1" applyFill="1" applyBorder="1"/>
    <xf numFmtId="2" fontId="21" fillId="0" borderId="0" xfId="0" applyNumberFormat="1" applyFont="1" applyFill="1" applyBorder="1" applyAlignment="1">
      <alignment horizontal="center"/>
    </xf>
    <xf numFmtId="2" fontId="21" fillId="0" borderId="41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2" fontId="23" fillId="0" borderId="43" xfId="0" applyNumberFormat="1" applyFont="1" applyFill="1" applyBorder="1" applyAlignment="1">
      <alignment horizontal="center"/>
    </xf>
    <xf numFmtId="2" fontId="23" fillId="0" borderId="42" xfId="0" applyNumberFormat="1" applyFont="1" applyFill="1" applyBorder="1" applyAlignment="1">
      <alignment horizontal="center"/>
    </xf>
    <xf numFmtId="0" fontId="24" fillId="0" borderId="11" xfId="0" applyFont="1" applyFill="1" applyBorder="1" applyAlignment="1">
      <alignment horizontal="left"/>
    </xf>
    <xf numFmtId="3" fontId="24" fillId="0" borderId="11" xfId="0" applyNumberFormat="1" applyFont="1" applyFill="1" applyBorder="1"/>
    <xf numFmtId="4" fontId="24" fillId="0" borderId="11" xfId="0" applyNumberFormat="1" applyFont="1" applyFill="1" applyBorder="1"/>
    <xf numFmtId="2" fontId="24" fillId="0" borderId="11" xfId="0" applyNumberFormat="1" applyFont="1" applyFill="1" applyBorder="1" applyAlignment="1">
      <alignment horizontal="center"/>
    </xf>
    <xf numFmtId="2" fontId="24" fillId="0" borderId="31" xfId="0" applyNumberFormat="1" applyFont="1" applyFill="1" applyBorder="1"/>
    <xf numFmtId="2" fontId="24" fillId="0" borderId="50" xfId="0" applyNumberFormat="1" applyFont="1" applyFill="1" applyBorder="1"/>
    <xf numFmtId="166" fontId="24" fillId="0" borderId="50" xfId="0" applyNumberFormat="1" applyFont="1" applyFill="1" applyBorder="1" applyAlignment="1">
      <alignment horizontal="center"/>
    </xf>
    <xf numFmtId="167" fontId="24" fillId="0" borderId="50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165" fontId="24" fillId="0" borderId="9" xfId="0" applyNumberFormat="1" applyFont="1" applyFill="1" applyBorder="1" applyAlignment="1">
      <alignment horizontal="center"/>
    </xf>
    <xf numFmtId="0" fontId="32" fillId="0" borderId="0" xfId="0" applyFont="1"/>
    <xf numFmtId="0" fontId="1" fillId="0" borderId="0" xfId="0" applyFont="1" applyFill="1" applyBorder="1"/>
    <xf numFmtId="0" fontId="22" fillId="0" borderId="0" xfId="0" applyFont="1" applyFill="1" applyBorder="1"/>
    <xf numFmtId="164" fontId="22" fillId="0" borderId="0" xfId="0" applyNumberFormat="1" applyFont="1" applyFill="1" applyBorder="1"/>
    <xf numFmtId="0" fontId="23" fillId="0" borderId="0" xfId="0" applyFont="1" applyFill="1" applyBorder="1"/>
    <xf numFmtId="164" fontId="23" fillId="0" borderId="0" xfId="0" applyNumberFormat="1" applyFont="1" applyFill="1" applyBorder="1"/>
    <xf numFmtId="0" fontId="24" fillId="0" borderId="0" xfId="0" applyFont="1" applyFill="1" applyBorder="1"/>
    <xf numFmtId="3" fontId="27" fillId="0" borderId="0" xfId="0" applyNumberFormat="1" applyFont="1"/>
    <xf numFmtId="164" fontId="27" fillId="0" borderId="0" xfId="0" applyNumberFormat="1" applyFont="1"/>
    <xf numFmtId="168" fontId="27" fillId="0" borderId="0" xfId="0" applyNumberFormat="1" applyFont="1"/>
    <xf numFmtId="167" fontId="1" fillId="0" borderId="0" xfId="0" applyNumberFormat="1" applyFont="1"/>
    <xf numFmtId="4" fontId="5" fillId="0" borderId="0" xfId="0" applyNumberFormat="1" applyFont="1" applyBorder="1"/>
    <xf numFmtId="0" fontId="25" fillId="0" borderId="40" xfId="0" applyFont="1" applyBorder="1" applyAlignment="1">
      <alignment horizontal="center"/>
    </xf>
    <xf numFmtId="0" fontId="25" fillId="0" borderId="4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" fillId="5" borderId="32" xfId="0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/>
    </xf>
    <xf numFmtId="0" fontId="26" fillId="0" borderId="61" xfId="0" applyFont="1" applyFill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45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Border="1" applyAlignment="1">
      <alignment horizontal="center" textRotation="180"/>
    </xf>
    <xf numFmtId="0" fontId="0" fillId="0" borderId="29" xfId="0" applyBorder="1" applyAlignment="1">
      <alignment horizontal="center" textRotation="180"/>
    </xf>
    <xf numFmtId="0" fontId="0" fillId="0" borderId="39" xfId="0" applyBorder="1" applyAlignment="1">
      <alignment horizontal="center" textRotation="180"/>
    </xf>
    <xf numFmtId="3" fontId="0" fillId="0" borderId="0" xfId="0" applyNumberFormat="1" applyFont="1" applyBorder="1" applyAlignment="1">
      <alignment horizontal="center"/>
    </xf>
    <xf numFmtId="3" fontId="0" fillId="0" borderId="39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view="pageLayout" topLeftCell="A7" zoomScaleNormal="100" workbookViewId="0">
      <selection activeCell="R26" sqref="R26"/>
    </sheetView>
  </sheetViews>
  <sheetFormatPr defaultRowHeight="15" x14ac:dyDescent="0.25"/>
  <cols>
    <col min="1" max="1" width="13.7109375" style="181" customWidth="1"/>
    <col min="2" max="2" width="12.42578125" style="181" customWidth="1"/>
    <col min="3" max="3" width="13.5703125" style="181" customWidth="1"/>
    <col min="4" max="4" width="19.28515625" style="181" customWidth="1"/>
    <col min="5" max="5" width="8.85546875" style="181" hidden="1" customWidth="1"/>
    <col min="6" max="6" width="8.85546875" style="181" customWidth="1"/>
    <col min="7" max="7" width="8.85546875" style="181" hidden="1" customWidth="1"/>
    <col min="8" max="8" width="8.85546875" style="181" customWidth="1"/>
    <col min="9" max="9" width="10.5703125" style="181" customWidth="1"/>
    <col min="10" max="10" width="10.7109375" style="181" hidden="1" customWidth="1"/>
    <col min="11" max="11" width="10.7109375" style="181" customWidth="1"/>
    <col min="12" max="12" width="15.28515625" style="181" customWidth="1"/>
    <col min="13" max="13" width="12.7109375" style="181" customWidth="1"/>
    <col min="14" max="14" width="7.85546875" style="181" customWidth="1"/>
    <col min="15" max="15" width="10.7109375" style="181" customWidth="1"/>
    <col min="16" max="16" width="2.5703125" style="181" customWidth="1"/>
    <col min="17" max="18" width="9.140625" style="181"/>
    <col min="19" max="19" width="14.5703125" style="181" bestFit="1" customWidth="1"/>
    <col min="20" max="250" width="9.140625" style="181"/>
    <col min="251" max="251" width="13.140625" style="181" customWidth="1"/>
    <col min="252" max="252" width="10.140625" style="181" bestFit="1" customWidth="1"/>
    <col min="253" max="253" width="11.140625" style="181" bestFit="1" customWidth="1"/>
    <col min="254" max="254" width="12.42578125" style="181" customWidth="1"/>
    <col min="255" max="255" width="10.42578125" style="181" customWidth="1"/>
    <col min="256" max="256" width="10" style="181" customWidth="1"/>
    <col min="257" max="257" width="9.85546875" style="181" customWidth="1"/>
    <col min="258" max="258" width="10.140625" style="181" customWidth="1"/>
    <col min="259" max="259" width="9.7109375" style="181" customWidth="1"/>
    <col min="260" max="260" width="12.42578125" style="181" customWidth="1"/>
    <col min="261" max="261" width="8.42578125" style="181" customWidth="1"/>
    <col min="262" max="262" width="8.7109375" style="181" customWidth="1"/>
    <col min="263" max="263" width="6.85546875" style="181" customWidth="1"/>
    <col min="264" max="264" width="9.140625" style="181"/>
    <col min="265" max="265" width="19.28515625" style="181" customWidth="1"/>
    <col min="266" max="506" width="9.140625" style="181"/>
    <col min="507" max="507" width="13.140625" style="181" customWidth="1"/>
    <col min="508" max="508" width="10.140625" style="181" bestFit="1" customWidth="1"/>
    <col min="509" max="509" width="11.140625" style="181" bestFit="1" customWidth="1"/>
    <col min="510" max="510" width="12.42578125" style="181" customWidth="1"/>
    <col min="511" max="511" width="10.42578125" style="181" customWidth="1"/>
    <col min="512" max="512" width="10" style="181" customWidth="1"/>
    <col min="513" max="513" width="9.85546875" style="181" customWidth="1"/>
    <col min="514" max="514" width="10.140625" style="181" customWidth="1"/>
    <col min="515" max="515" width="9.7109375" style="181" customWidth="1"/>
    <col min="516" max="516" width="12.42578125" style="181" customWidth="1"/>
    <col min="517" max="517" width="8.42578125" style="181" customWidth="1"/>
    <col min="518" max="518" width="8.7109375" style="181" customWidth="1"/>
    <col min="519" max="519" width="6.85546875" style="181" customWidth="1"/>
    <col min="520" max="520" width="9.140625" style="181"/>
    <col min="521" max="521" width="19.28515625" style="181" customWidth="1"/>
    <col min="522" max="762" width="9.140625" style="181"/>
    <col min="763" max="763" width="13.140625" style="181" customWidth="1"/>
    <col min="764" max="764" width="10.140625" style="181" bestFit="1" customWidth="1"/>
    <col min="765" max="765" width="11.140625" style="181" bestFit="1" customWidth="1"/>
    <col min="766" max="766" width="12.42578125" style="181" customWidth="1"/>
    <col min="767" max="767" width="10.42578125" style="181" customWidth="1"/>
    <col min="768" max="768" width="10" style="181" customWidth="1"/>
    <col min="769" max="769" width="9.85546875" style="181" customWidth="1"/>
    <col min="770" max="770" width="10.140625" style="181" customWidth="1"/>
    <col min="771" max="771" width="9.7109375" style="181" customWidth="1"/>
    <col min="772" max="772" width="12.42578125" style="181" customWidth="1"/>
    <col min="773" max="773" width="8.42578125" style="181" customWidth="1"/>
    <col min="774" max="774" width="8.7109375" style="181" customWidth="1"/>
    <col min="775" max="775" width="6.85546875" style="181" customWidth="1"/>
    <col min="776" max="776" width="9.140625" style="181"/>
    <col min="777" max="777" width="19.28515625" style="181" customWidth="1"/>
    <col min="778" max="1018" width="9.140625" style="181"/>
    <col min="1019" max="1019" width="13.140625" style="181" customWidth="1"/>
    <col min="1020" max="1020" width="10.140625" style="181" bestFit="1" customWidth="1"/>
    <col min="1021" max="1021" width="11.140625" style="181" bestFit="1" customWidth="1"/>
    <col min="1022" max="1022" width="12.42578125" style="181" customWidth="1"/>
    <col min="1023" max="1023" width="10.42578125" style="181" customWidth="1"/>
    <col min="1024" max="1024" width="10" style="181" customWidth="1"/>
    <col min="1025" max="1025" width="9.85546875" style="181" customWidth="1"/>
    <col min="1026" max="1026" width="10.140625" style="181" customWidth="1"/>
    <col min="1027" max="1027" width="9.7109375" style="181" customWidth="1"/>
    <col min="1028" max="1028" width="12.42578125" style="181" customWidth="1"/>
    <col min="1029" max="1029" width="8.42578125" style="181" customWidth="1"/>
    <col min="1030" max="1030" width="8.7109375" style="181" customWidth="1"/>
    <col min="1031" max="1031" width="6.85546875" style="181" customWidth="1"/>
    <col min="1032" max="1032" width="9.140625" style="181"/>
    <col min="1033" max="1033" width="19.28515625" style="181" customWidth="1"/>
    <col min="1034" max="1274" width="9.140625" style="181"/>
    <col min="1275" max="1275" width="13.140625" style="181" customWidth="1"/>
    <col min="1276" max="1276" width="10.140625" style="181" bestFit="1" customWidth="1"/>
    <col min="1277" max="1277" width="11.140625" style="181" bestFit="1" customWidth="1"/>
    <col min="1278" max="1278" width="12.42578125" style="181" customWidth="1"/>
    <col min="1279" max="1279" width="10.42578125" style="181" customWidth="1"/>
    <col min="1280" max="1280" width="10" style="181" customWidth="1"/>
    <col min="1281" max="1281" width="9.85546875" style="181" customWidth="1"/>
    <col min="1282" max="1282" width="10.140625" style="181" customWidth="1"/>
    <col min="1283" max="1283" width="9.7109375" style="181" customWidth="1"/>
    <col min="1284" max="1284" width="12.42578125" style="181" customWidth="1"/>
    <col min="1285" max="1285" width="8.42578125" style="181" customWidth="1"/>
    <col min="1286" max="1286" width="8.7109375" style="181" customWidth="1"/>
    <col min="1287" max="1287" width="6.85546875" style="181" customWidth="1"/>
    <col min="1288" max="1288" width="9.140625" style="181"/>
    <col min="1289" max="1289" width="19.28515625" style="181" customWidth="1"/>
    <col min="1290" max="1530" width="9.140625" style="181"/>
    <col min="1531" max="1531" width="13.140625" style="181" customWidth="1"/>
    <col min="1532" max="1532" width="10.140625" style="181" bestFit="1" customWidth="1"/>
    <col min="1533" max="1533" width="11.140625" style="181" bestFit="1" customWidth="1"/>
    <col min="1534" max="1534" width="12.42578125" style="181" customWidth="1"/>
    <col min="1535" max="1535" width="10.42578125" style="181" customWidth="1"/>
    <col min="1536" max="1536" width="10" style="181" customWidth="1"/>
    <col min="1537" max="1537" width="9.85546875" style="181" customWidth="1"/>
    <col min="1538" max="1538" width="10.140625" style="181" customWidth="1"/>
    <col min="1539" max="1539" width="9.7109375" style="181" customWidth="1"/>
    <col min="1540" max="1540" width="12.42578125" style="181" customWidth="1"/>
    <col min="1541" max="1541" width="8.42578125" style="181" customWidth="1"/>
    <col min="1542" max="1542" width="8.7109375" style="181" customWidth="1"/>
    <col min="1543" max="1543" width="6.85546875" style="181" customWidth="1"/>
    <col min="1544" max="1544" width="9.140625" style="181"/>
    <col min="1545" max="1545" width="19.28515625" style="181" customWidth="1"/>
    <col min="1546" max="1786" width="9.140625" style="181"/>
    <col min="1787" max="1787" width="13.140625" style="181" customWidth="1"/>
    <col min="1788" max="1788" width="10.140625" style="181" bestFit="1" customWidth="1"/>
    <col min="1789" max="1789" width="11.140625" style="181" bestFit="1" customWidth="1"/>
    <col min="1790" max="1790" width="12.42578125" style="181" customWidth="1"/>
    <col min="1791" max="1791" width="10.42578125" style="181" customWidth="1"/>
    <col min="1792" max="1792" width="10" style="181" customWidth="1"/>
    <col min="1793" max="1793" width="9.85546875" style="181" customWidth="1"/>
    <col min="1794" max="1794" width="10.140625" style="181" customWidth="1"/>
    <col min="1795" max="1795" width="9.7109375" style="181" customWidth="1"/>
    <col min="1796" max="1796" width="12.42578125" style="181" customWidth="1"/>
    <col min="1797" max="1797" width="8.42578125" style="181" customWidth="1"/>
    <col min="1798" max="1798" width="8.7109375" style="181" customWidth="1"/>
    <col min="1799" max="1799" width="6.85546875" style="181" customWidth="1"/>
    <col min="1800" max="1800" width="9.140625" style="181"/>
    <col min="1801" max="1801" width="19.28515625" style="181" customWidth="1"/>
    <col min="1802" max="2042" width="9.140625" style="181"/>
    <col min="2043" max="2043" width="13.140625" style="181" customWidth="1"/>
    <col min="2044" max="2044" width="10.140625" style="181" bestFit="1" customWidth="1"/>
    <col min="2045" max="2045" width="11.140625" style="181" bestFit="1" customWidth="1"/>
    <col min="2046" max="2046" width="12.42578125" style="181" customWidth="1"/>
    <col min="2047" max="2047" width="10.42578125" style="181" customWidth="1"/>
    <col min="2048" max="2048" width="10" style="181" customWidth="1"/>
    <col min="2049" max="2049" width="9.85546875" style="181" customWidth="1"/>
    <col min="2050" max="2050" width="10.140625" style="181" customWidth="1"/>
    <col min="2051" max="2051" width="9.7109375" style="181" customWidth="1"/>
    <col min="2052" max="2052" width="12.42578125" style="181" customWidth="1"/>
    <col min="2053" max="2053" width="8.42578125" style="181" customWidth="1"/>
    <col min="2054" max="2054" width="8.7109375" style="181" customWidth="1"/>
    <col min="2055" max="2055" width="6.85546875" style="181" customWidth="1"/>
    <col min="2056" max="2056" width="9.140625" style="181"/>
    <col min="2057" max="2057" width="19.28515625" style="181" customWidth="1"/>
    <col min="2058" max="2298" width="9.140625" style="181"/>
    <col min="2299" max="2299" width="13.140625" style="181" customWidth="1"/>
    <col min="2300" max="2300" width="10.140625" style="181" bestFit="1" customWidth="1"/>
    <col min="2301" max="2301" width="11.140625" style="181" bestFit="1" customWidth="1"/>
    <col min="2302" max="2302" width="12.42578125" style="181" customWidth="1"/>
    <col min="2303" max="2303" width="10.42578125" style="181" customWidth="1"/>
    <col min="2304" max="2304" width="10" style="181" customWidth="1"/>
    <col min="2305" max="2305" width="9.85546875" style="181" customWidth="1"/>
    <col min="2306" max="2306" width="10.140625" style="181" customWidth="1"/>
    <col min="2307" max="2307" width="9.7109375" style="181" customWidth="1"/>
    <col min="2308" max="2308" width="12.42578125" style="181" customWidth="1"/>
    <col min="2309" max="2309" width="8.42578125" style="181" customWidth="1"/>
    <col min="2310" max="2310" width="8.7109375" style="181" customWidth="1"/>
    <col min="2311" max="2311" width="6.85546875" style="181" customWidth="1"/>
    <col min="2312" max="2312" width="9.140625" style="181"/>
    <col min="2313" max="2313" width="19.28515625" style="181" customWidth="1"/>
    <col min="2314" max="2554" width="9.140625" style="181"/>
    <col min="2555" max="2555" width="13.140625" style="181" customWidth="1"/>
    <col min="2556" max="2556" width="10.140625" style="181" bestFit="1" customWidth="1"/>
    <col min="2557" max="2557" width="11.140625" style="181" bestFit="1" customWidth="1"/>
    <col min="2558" max="2558" width="12.42578125" style="181" customWidth="1"/>
    <col min="2559" max="2559" width="10.42578125" style="181" customWidth="1"/>
    <col min="2560" max="2560" width="10" style="181" customWidth="1"/>
    <col min="2561" max="2561" width="9.85546875" style="181" customWidth="1"/>
    <col min="2562" max="2562" width="10.140625" style="181" customWidth="1"/>
    <col min="2563" max="2563" width="9.7109375" style="181" customWidth="1"/>
    <col min="2564" max="2564" width="12.42578125" style="181" customWidth="1"/>
    <col min="2565" max="2565" width="8.42578125" style="181" customWidth="1"/>
    <col min="2566" max="2566" width="8.7109375" style="181" customWidth="1"/>
    <col min="2567" max="2567" width="6.85546875" style="181" customWidth="1"/>
    <col min="2568" max="2568" width="9.140625" style="181"/>
    <col min="2569" max="2569" width="19.28515625" style="181" customWidth="1"/>
    <col min="2570" max="2810" width="9.140625" style="181"/>
    <col min="2811" max="2811" width="13.140625" style="181" customWidth="1"/>
    <col min="2812" max="2812" width="10.140625" style="181" bestFit="1" customWidth="1"/>
    <col min="2813" max="2813" width="11.140625" style="181" bestFit="1" customWidth="1"/>
    <col min="2814" max="2814" width="12.42578125" style="181" customWidth="1"/>
    <col min="2815" max="2815" width="10.42578125" style="181" customWidth="1"/>
    <col min="2816" max="2816" width="10" style="181" customWidth="1"/>
    <col min="2817" max="2817" width="9.85546875" style="181" customWidth="1"/>
    <col min="2818" max="2818" width="10.140625" style="181" customWidth="1"/>
    <col min="2819" max="2819" width="9.7109375" style="181" customWidth="1"/>
    <col min="2820" max="2820" width="12.42578125" style="181" customWidth="1"/>
    <col min="2821" max="2821" width="8.42578125" style="181" customWidth="1"/>
    <col min="2822" max="2822" width="8.7109375" style="181" customWidth="1"/>
    <col min="2823" max="2823" width="6.85546875" style="181" customWidth="1"/>
    <col min="2824" max="2824" width="9.140625" style="181"/>
    <col min="2825" max="2825" width="19.28515625" style="181" customWidth="1"/>
    <col min="2826" max="3066" width="9.140625" style="181"/>
    <col min="3067" max="3067" width="13.140625" style="181" customWidth="1"/>
    <col min="3068" max="3068" width="10.140625" style="181" bestFit="1" customWidth="1"/>
    <col min="3069" max="3069" width="11.140625" style="181" bestFit="1" customWidth="1"/>
    <col min="3070" max="3070" width="12.42578125" style="181" customWidth="1"/>
    <col min="3071" max="3071" width="10.42578125" style="181" customWidth="1"/>
    <col min="3072" max="3072" width="10" style="181" customWidth="1"/>
    <col min="3073" max="3073" width="9.85546875" style="181" customWidth="1"/>
    <col min="3074" max="3074" width="10.140625" style="181" customWidth="1"/>
    <col min="3075" max="3075" width="9.7109375" style="181" customWidth="1"/>
    <col min="3076" max="3076" width="12.42578125" style="181" customWidth="1"/>
    <col min="3077" max="3077" width="8.42578125" style="181" customWidth="1"/>
    <col min="3078" max="3078" width="8.7109375" style="181" customWidth="1"/>
    <col min="3079" max="3079" width="6.85546875" style="181" customWidth="1"/>
    <col min="3080" max="3080" width="9.140625" style="181"/>
    <col min="3081" max="3081" width="19.28515625" style="181" customWidth="1"/>
    <col min="3082" max="3322" width="9.140625" style="181"/>
    <col min="3323" max="3323" width="13.140625" style="181" customWidth="1"/>
    <col min="3324" max="3324" width="10.140625" style="181" bestFit="1" customWidth="1"/>
    <col min="3325" max="3325" width="11.140625" style="181" bestFit="1" customWidth="1"/>
    <col min="3326" max="3326" width="12.42578125" style="181" customWidth="1"/>
    <col min="3327" max="3327" width="10.42578125" style="181" customWidth="1"/>
    <col min="3328" max="3328" width="10" style="181" customWidth="1"/>
    <col min="3329" max="3329" width="9.85546875" style="181" customWidth="1"/>
    <col min="3330" max="3330" width="10.140625" style="181" customWidth="1"/>
    <col min="3331" max="3331" width="9.7109375" style="181" customWidth="1"/>
    <col min="3332" max="3332" width="12.42578125" style="181" customWidth="1"/>
    <col min="3333" max="3333" width="8.42578125" style="181" customWidth="1"/>
    <col min="3334" max="3334" width="8.7109375" style="181" customWidth="1"/>
    <col min="3335" max="3335" width="6.85546875" style="181" customWidth="1"/>
    <col min="3336" max="3336" width="9.140625" style="181"/>
    <col min="3337" max="3337" width="19.28515625" style="181" customWidth="1"/>
    <col min="3338" max="3578" width="9.140625" style="181"/>
    <col min="3579" max="3579" width="13.140625" style="181" customWidth="1"/>
    <col min="3580" max="3580" width="10.140625" style="181" bestFit="1" customWidth="1"/>
    <col min="3581" max="3581" width="11.140625" style="181" bestFit="1" customWidth="1"/>
    <col min="3582" max="3582" width="12.42578125" style="181" customWidth="1"/>
    <col min="3583" max="3583" width="10.42578125" style="181" customWidth="1"/>
    <col min="3584" max="3584" width="10" style="181" customWidth="1"/>
    <col min="3585" max="3585" width="9.85546875" style="181" customWidth="1"/>
    <col min="3586" max="3586" width="10.140625" style="181" customWidth="1"/>
    <col min="3587" max="3587" width="9.7109375" style="181" customWidth="1"/>
    <col min="3588" max="3588" width="12.42578125" style="181" customWidth="1"/>
    <col min="3589" max="3589" width="8.42578125" style="181" customWidth="1"/>
    <col min="3590" max="3590" width="8.7109375" style="181" customWidth="1"/>
    <col min="3591" max="3591" width="6.85546875" style="181" customWidth="1"/>
    <col min="3592" max="3592" width="9.140625" style="181"/>
    <col min="3593" max="3593" width="19.28515625" style="181" customWidth="1"/>
    <col min="3594" max="3834" width="9.140625" style="181"/>
    <col min="3835" max="3835" width="13.140625" style="181" customWidth="1"/>
    <col min="3836" max="3836" width="10.140625" style="181" bestFit="1" customWidth="1"/>
    <col min="3837" max="3837" width="11.140625" style="181" bestFit="1" customWidth="1"/>
    <col min="3838" max="3838" width="12.42578125" style="181" customWidth="1"/>
    <col min="3839" max="3839" width="10.42578125" style="181" customWidth="1"/>
    <col min="3840" max="3840" width="10" style="181" customWidth="1"/>
    <col min="3841" max="3841" width="9.85546875" style="181" customWidth="1"/>
    <col min="3842" max="3842" width="10.140625" style="181" customWidth="1"/>
    <col min="3843" max="3843" width="9.7109375" style="181" customWidth="1"/>
    <col min="3844" max="3844" width="12.42578125" style="181" customWidth="1"/>
    <col min="3845" max="3845" width="8.42578125" style="181" customWidth="1"/>
    <col min="3846" max="3846" width="8.7109375" style="181" customWidth="1"/>
    <col min="3847" max="3847" width="6.85546875" style="181" customWidth="1"/>
    <col min="3848" max="3848" width="9.140625" style="181"/>
    <col min="3849" max="3849" width="19.28515625" style="181" customWidth="1"/>
    <col min="3850" max="4090" width="9.140625" style="181"/>
    <col min="4091" max="4091" width="13.140625" style="181" customWidth="1"/>
    <col min="4092" max="4092" width="10.140625" style="181" bestFit="1" customWidth="1"/>
    <col min="4093" max="4093" width="11.140625" style="181" bestFit="1" customWidth="1"/>
    <col min="4094" max="4094" width="12.42578125" style="181" customWidth="1"/>
    <col min="4095" max="4095" width="10.42578125" style="181" customWidth="1"/>
    <col min="4096" max="4096" width="10" style="181" customWidth="1"/>
    <col min="4097" max="4097" width="9.85546875" style="181" customWidth="1"/>
    <col min="4098" max="4098" width="10.140625" style="181" customWidth="1"/>
    <col min="4099" max="4099" width="9.7109375" style="181" customWidth="1"/>
    <col min="4100" max="4100" width="12.42578125" style="181" customWidth="1"/>
    <col min="4101" max="4101" width="8.42578125" style="181" customWidth="1"/>
    <col min="4102" max="4102" width="8.7109375" style="181" customWidth="1"/>
    <col min="4103" max="4103" width="6.85546875" style="181" customWidth="1"/>
    <col min="4104" max="4104" width="9.140625" style="181"/>
    <col min="4105" max="4105" width="19.28515625" style="181" customWidth="1"/>
    <col min="4106" max="4346" width="9.140625" style="181"/>
    <col min="4347" max="4347" width="13.140625" style="181" customWidth="1"/>
    <col min="4348" max="4348" width="10.140625" style="181" bestFit="1" customWidth="1"/>
    <col min="4349" max="4349" width="11.140625" style="181" bestFit="1" customWidth="1"/>
    <col min="4350" max="4350" width="12.42578125" style="181" customWidth="1"/>
    <col min="4351" max="4351" width="10.42578125" style="181" customWidth="1"/>
    <col min="4352" max="4352" width="10" style="181" customWidth="1"/>
    <col min="4353" max="4353" width="9.85546875" style="181" customWidth="1"/>
    <col min="4354" max="4354" width="10.140625" style="181" customWidth="1"/>
    <col min="4355" max="4355" width="9.7109375" style="181" customWidth="1"/>
    <col min="4356" max="4356" width="12.42578125" style="181" customWidth="1"/>
    <col min="4357" max="4357" width="8.42578125" style="181" customWidth="1"/>
    <col min="4358" max="4358" width="8.7109375" style="181" customWidth="1"/>
    <col min="4359" max="4359" width="6.85546875" style="181" customWidth="1"/>
    <col min="4360" max="4360" width="9.140625" style="181"/>
    <col min="4361" max="4361" width="19.28515625" style="181" customWidth="1"/>
    <col min="4362" max="4602" width="9.140625" style="181"/>
    <col min="4603" max="4603" width="13.140625" style="181" customWidth="1"/>
    <col min="4604" max="4604" width="10.140625" style="181" bestFit="1" customWidth="1"/>
    <col min="4605" max="4605" width="11.140625" style="181" bestFit="1" customWidth="1"/>
    <col min="4606" max="4606" width="12.42578125" style="181" customWidth="1"/>
    <col min="4607" max="4607" width="10.42578125" style="181" customWidth="1"/>
    <col min="4608" max="4608" width="10" style="181" customWidth="1"/>
    <col min="4609" max="4609" width="9.85546875" style="181" customWidth="1"/>
    <col min="4610" max="4610" width="10.140625" style="181" customWidth="1"/>
    <col min="4611" max="4611" width="9.7109375" style="181" customWidth="1"/>
    <col min="4612" max="4612" width="12.42578125" style="181" customWidth="1"/>
    <col min="4613" max="4613" width="8.42578125" style="181" customWidth="1"/>
    <col min="4614" max="4614" width="8.7109375" style="181" customWidth="1"/>
    <col min="4615" max="4615" width="6.85546875" style="181" customWidth="1"/>
    <col min="4616" max="4616" width="9.140625" style="181"/>
    <col min="4617" max="4617" width="19.28515625" style="181" customWidth="1"/>
    <col min="4618" max="4858" width="9.140625" style="181"/>
    <col min="4859" max="4859" width="13.140625" style="181" customWidth="1"/>
    <col min="4860" max="4860" width="10.140625" style="181" bestFit="1" customWidth="1"/>
    <col min="4861" max="4861" width="11.140625" style="181" bestFit="1" customWidth="1"/>
    <col min="4862" max="4862" width="12.42578125" style="181" customWidth="1"/>
    <col min="4863" max="4863" width="10.42578125" style="181" customWidth="1"/>
    <col min="4864" max="4864" width="10" style="181" customWidth="1"/>
    <col min="4865" max="4865" width="9.85546875" style="181" customWidth="1"/>
    <col min="4866" max="4866" width="10.140625" style="181" customWidth="1"/>
    <col min="4867" max="4867" width="9.7109375" style="181" customWidth="1"/>
    <col min="4868" max="4868" width="12.42578125" style="181" customWidth="1"/>
    <col min="4869" max="4869" width="8.42578125" style="181" customWidth="1"/>
    <col min="4870" max="4870" width="8.7109375" style="181" customWidth="1"/>
    <col min="4871" max="4871" width="6.85546875" style="181" customWidth="1"/>
    <col min="4872" max="4872" width="9.140625" style="181"/>
    <col min="4873" max="4873" width="19.28515625" style="181" customWidth="1"/>
    <col min="4874" max="5114" width="9.140625" style="181"/>
    <col min="5115" max="5115" width="13.140625" style="181" customWidth="1"/>
    <col min="5116" max="5116" width="10.140625" style="181" bestFit="1" customWidth="1"/>
    <col min="5117" max="5117" width="11.140625" style="181" bestFit="1" customWidth="1"/>
    <col min="5118" max="5118" width="12.42578125" style="181" customWidth="1"/>
    <col min="5119" max="5119" width="10.42578125" style="181" customWidth="1"/>
    <col min="5120" max="5120" width="10" style="181" customWidth="1"/>
    <col min="5121" max="5121" width="9.85546875" style="181" customWidth="1"/>
    <col min="5122" max="5122" width="10.140625" style="181" customWidth="1"/>
    <col min="5123" max="5123" width="9.7109375" style="181" customWidth="1"/>
    <col min="5124" max="5124" width="12.42578125" style="181" customWidth="1"/>
    <col min="5125" max="5125" width="8.42578125" style="181" customWidth="1"/>
    <col min="5126" max="5126" width="8.7109375" style="181" customWidth="1"/>
    <col min="5127" max="5127" width="6.85546875" style="181" customWidth="1"/>
    <col min="5128" max="5128" width="9.140625" style="181"/>
    <col min="5129" max="5129" width="19.28515625" style="181" customWidth="1"/>
    <col min="5130" max="5370" width="9.140625" style="181"/>
    <col min="5371" max="5371" width="13.140625" style="181" customWidth="1"/>
    <col min="5372" max="5372" width="10.140625" style="181" bestFit="1" customWidth="1"/>
    <col min="5373" max="5373" width="11.140625" style="181" bestFit="1" customWidth="1"/>
    <col min="5374" max="5374" width="12.42578125" style="181" customWidth="1"/>
    <col min="5375" max="5375" width="10.42578125" style="181" customWidth="1"/>
    <col min="5376" max="5376" width="10" style="181" customWidth="1"/>
    <col min="5377" max="5377" width="9.85546875" style="181" customWidth="1"/>
    <col min="5378" max="5378" width="10.140625" style="181" customWidth="1"/>
    <col min="5379" max="5379" width="9.7109375" style="181" customWidth="1"/>
    <col min="5380" max="5380" width="12.42578125" style="181" customWidth="1"/>
    <col min="5381" max="5381" width="8.42578125" style="181" customWidth="1"/>
    <col min="5382" max="5382" width="8.7109375" style="181" customWidth="1"/>
    <col min="5383" max="5383" width="6.85546875" style="181" customWidth="1"/>
    <col min="5384" max="5384" width="9.140625" style="181"/>
    <col min="5385" max="5385" width="19.28515625" style="181" customWidth="1"/>
    <col min="5386" max="5626" width="9.140625" style="181"/>
    <col min="5627" max="5627" width="13.140625" style="181" customWidth="1"/>
    <col min="5628" max="5628" width="10.140625" style="181" bestFit="1" customWidth="1"/>
    <col min="5629" max="5629" width="11.140625" style="181" bestFit="1" customWidth="1"/>
    <col min="5630" max="5630" width="12.42578125" style="181" customWidth="1"/>
    <col min="5631" max="5631" width="10.42578125" style="181" customWidth="1"/>
    <col min="5632" max="5632" width="10" style="181" customWidth="1"/>
    <col min="5633" max="5633" width="9.85546875" style="181" customWidth="1"/>
    <col min="5634" max="5634" width="10.140625" style="181" customWidth="1"/>
    <col min="5635" max="5635" width="9.7109375" style="181" customWidth="1"/>
    <col min="5636" max="5636" width="12.42578125" style="181" customWidth="1"/>
    <col min="5637" max="5637" width="8.42578125" style="181" customWidth="1"/>
    <col min="5638" max="5638" width="8.7109375" style="181" customWidth="1"/>
    <col min="5639" max="5639" width="6.85546875" style="181" customWidth="1"/>
    <col min="5640" max="5640" width="9.140625" style="181"/>
    <col min="5641" max="5641" width="19.28515625" style="181" customWidth="1"/>
    <col min="5642" max="5882" width="9.140625" style="181"/>
    <col min="5883" max="5883" width="13.140625" style="181" customWidth="1"/>
    <col min="5884" max="5884" width="10.140625" style="181" bestFit="1" customWidth="1"/>
    <col min="5885" max="5885" width="11.140625" style="181" bestFit="1" customWidth="1"/>
    <col min="5886" max="5886" width="12.42578125" style="181" customWidth="1"/>
    <col min="5887" max="5887" width="10.42578125" style="181" customWidth="1"/>
    <col min="5888" max="5888" width="10" style="181" customWidth="1"/>
    <col min="5889" max="5889" width="9.85546875" style="181" customWidth="1"/>
    <col min="5890" max="5890" width="10.140625" style="181" customWidth="1"/>
    <col min="5891" max="5891" width="9.7109375" style="181" customWidth="1"/>
    <col min="5892" max="5892" width="12.42578125" style="181" customWidth="1"/>
    <col min="5893" max="5893" width="8.42578125" style="181" customWidth="1"/>
    <col min="5894" max="5894" width="8.7109375" style="181" customWidth="1"/>
    <col min="5895" max="5895" width="6.85546875" style="181" customWidth="1"/>
    <col min="5896" max="5896" width="9.140625" style="181"/>
    <col min="5897" max="5897" width="19.28515625" style="181" customWidth="1"/>
    <col min="5898" max="6138" width="9.140625" style="181"/>
    <col min="6139" max="6139" width="13.140625" style="181" customWidth="1"/>
    <col min="6140" max="6140" width="10.140625" style="181" bestFit="1" customWidth="1"/>
    <col min="6141" max="6141" width="11.140625" style="181" bestFit="1" customWidth="1"/>
    <col min="6142" max="6142" width="12.42578125" style="181" customWidth="1"/>
    <col min="6143" max="6143" width="10.42578125" style="181" customWidth="1"/>
    <col min="6144" max="6144" width="10" style="181" customWidth="1"/>
    <col min="6145" max="6145" width="9.85546875" style="181" customWidth="1"/>
    <col min="6146" max="6146" width="10.140625" style="181" customWidth="1"/>
    <col min="6147" max="6147" width="9.7109375" style="181" customWidth="1"/>
    <col min="6148" max="6148" width="12.42578125" style="181" customWidth="1"/>
    <col min="6149" max="6149" width="8.42578125" style="181" customWidth="1"/>
    <col min="6150" max="6150" width="8.7109375" style="181" customWidth="1"/>
    <col min="6151" max="6151" width="6.85546875" style="181" customWidth="1"/>
    <col min="6152" max="6152" width="9.140625" style="181"/>
    <col min="6153" max="6153" width="19.28515625" style="181" customWidth="1"/>
    <col min="6154" max="6394" width="9.140625" style="181"/>
    <col min="6395" max="6395" width="13.140625" style="181" customWidth="1"/>
    <col min="6396" max="6396" width="10.140625" style="181" bestFit="1" customWidth="1"/>
    <col min="6397" max="6397" width="11.140625" style="181" bestFit="1" customWidth="1"/>
    <col min="6398" max="6398" width="12.42578125" style="181" customWidth="1"/>
    <col min="6399" max="6399" width="10.42578125" style="181" customWidth="1"/>
    <col min="6400" max="6400" width="10" style="181" customWidth="1"/>
    <col min="6401" max="6401" width="9.85546875" style="181" customWidth="1"/>
    <col min="6402" max="6402" width="10.140625" style="181" customWidth="1"/>
    <col min="6403" max="6403" width="9.7109375" style="181" customWidth="1"/>
    <col min="6404" max="6404" width="12.42578125" style="181" customWidth="1"/>
    <col min="6405" max="6405" width="8.42578125" style="181" customWidth="1"/>
    <col min="6406" max="6406" width="8.7109375" style="181" customWidth="1"/>
    <col min="6407" max="6407" width="6.85546875" style="181" customWidth="1"/>
    <col min="6408" max="6408" width="9.140625" style="181"/>
    <col min="6409" max="6409" width="19.28515625" style="181" customWidth="1"/>
    <col min="6410" max="6650" width="9.140625" style="181"/>
    <col min="6651" max="6651" width="13.140625" style="181" customWidth="1"/>
    <col min="6652" max="6652" width="10.140625" style="181" bestFit="1" customWidth="1"/>
    <col min="6653" max="6653" width="11.140625" style="181" bestFit="1" customWidth="1"/>
    <col min="6654" max="6654" width="12.42578125" style="181" customWidth="1"/>
    <col min="6655" max="6655" width="10.42578125" style="181" customWidth="1"/>
    <col min="6656" max="6656" width="10" style="181" customWidth="1"/>
    <col min="6657" max="6657" width="9.85546875" style="181" customWidth="1"/>
    <col min="6658" max="6658" width="10.140625" style="181" customWidth="1"/>
    <col min="6659" max="6659" width="9.7109375" style="181" customWidth="1"/>
    <col min="6660" max="6660" width="12.42578125" style="181" customWidth="1"/>
    <col min="6661" max="6661" width="8.42578125" style="181" customWidth="1"/>
    <col min="6662" max="6662" width="8.7109375" style="181" customWidth="1"/>
    <col min="6663" max="6663" width="6.85546875" style="181" customWidth="1"/>
    <col min="6664" max="6664" width="9.140625" style="181"/>
    <col min="6665" max="6665" width="19.28515625" style="181" customWidth="1"/>
    <col min="6666" max="6906" width="9.140625" style="181"/>
    <col min="6907" max="6907" width="13.140625" style="181" customWidth="1"/>
    <col min="6908" max="6908" width="10.140625" style="181" bestFit="1" customWidth="1"/>
    <col min="6909" max="6909" width="11.140625" style="181" bestFit="1" customWidth="1"/>
    <col min="6910" max="6910" width="12.42578125" style="181" customWidth="1"/>
    <col min="6911" max="6911" width="10.42578125" style="181" customWidth="1"/>
    <col min="6912" max="6912" width="10" style="181" customWidth="1"/>
    <col min="6913" max="6913" width="9.85546875" style="181" customWidth="1"/>
    <col min="6914" max="6914" width="10.140625" style="181" customWidth="1"/>
    <col min="6915" max="6915" width="9.7109375" style="181" customWidth="1"/>
    <col min="6916" max="6916" width="12.42578125" style="181" customWidth="1"/>
    <col min="6917" max="6917" width="8.42578125" style="181" customWidth="1"/>
    <col min="6918" max="6918" width="8.7109375" style="181" customWidth="1"/>
    <col min="6919" max="6919" width="6.85546875" style="181" customWidth="1"/>
    <col min="6920" max="6920" width="9.140625" style="181"/>
    <col min="6921" max="6921" width="19.28515625" style="181" customWidth="1"/>
    <col min="6922" max="7162" width="9.140625" style="181"/>
    <col min="7163" max="7163" width="13.140625" style="181" customWidth="1"/>
    <col min="7164" max="7164" width="10.140625" style="181" bestFit="1" customWidth="1"/>
    <col min="7165" max="7165" width="11.140625" style="181" bestFit="1" customWidth="1"/>
    <col min="7166" max="7166" width="12.42578125" style="181" customWidth="1"/>
    <col min="7167" max="7167" width="10.42578125" style="181" customWidth="1"/>
    <col min="7168" max="7168" width="10" style="181" customWidth="1"/>
    <col min="7169" max="7169" width="9.85546875" style="181" customWidth="1"/>
    <col min="7170" max="7170" width="10.140625" style="181" customWidth="1"/>
    <col min="7171" max="7171" width="9.7109375" style="181" customWidth="1"/>
    <col min="7172" max="7172" width="12.42578125" style="181" customWidth="1"/>
    <col min="7173" max="7173" width="8.42578125" style="181" customWidth="1"/>
    <col min="7174" max="7174" width="8.7109375" style="181" customWidth="1"/>
    <col min="7175" max="7175" width="6.85546875" style="181" customWidth="1"/>
    <col min="7176" max="7176" width="9.140625" style="181"/>
    <col min="7177" max="7177" width="19.28515625" style="181" customWidth="1"/>
    <col min="7178" max="7418" width="9.140625" style="181"/>
    <col min="7419" max="7419" width="13.140625" style="181" customWidth="1"/>
    <col min="7420" max="7420" width="10.140625" style="181" bestFit="1" customWidth="1"/>
    <col min="7421" max="7421" width="11.140625" style="181" bestFit="1" customWidth="1"/>
    <col min="7422" max="7422" width="12.42578125" style="181" customWidth="1"/>
    <col min="7423" max="7423" width="10.42578125" style="181" customWidth="1"/>
    <col min="7424" max="7424" width="10" style="181" customWidth="1"/>
    <col min="7425" max="7425" width="9.85546875" style="181" customWidth="1"/>
    <col min="7426" max="7426" width="10.140625" style="181" customWidth="1"/>
    <col min="7427" max="7427" width="9.7109375" style="181" customWidth="1"/>
    <col min="7428" max="7428" width="12.42578125" style="181" customWidth="1"/>
    <col min="7429" max="7429" width="8.42578125" style="181" customWidth="1"/>
    <col min="7430" max="7430" width="8.7109375" style="181" customWidth="1"/>
    <col min="7431" max="7431" width="6.85546875" style="181" customWidth="1"/>
    <col min="7432" max="7432" width="9.140625" style="181"/>
    <col min="7433" max="7433" width="19.28515625" style="181" customWidth="1"/>
    <col min="7434" max="7674" width="9.140625" style="181"/>
    <col min="7675" max="7675" width="13.140625" style="181" customWidth="1"/>
    <col min="7676" max="7676" width="10.140625" style="181" bestFit="1" customWidth="1"/>
    <col min="7677" max="7677" width="11.140625" style="181" bestFit="1" customWidth="1"/>
    <col min="7678" max="7678" width="12.42578125" style="181" customWidth="1"/>
    <col min="7679" max="7679" width="10.42578125" style="181" customWidth="1"/>
    <col min="7680" max="7680" width="10" style="181" customWidth="1"/>
    <col min="7681" max="7681" width="9.85546875" style="181" customWidth="1"/>
    <col min="7682" max="7682" width="10.140625" style="181" customWidth="1"/>
    <col min="7683" max="7683" width="9.7109375" style="181" customWidth="1"/>
    <col min="7684" max="7684" width="12.42578125" style="181" customWidth="1"/>
    <col min="7685" max="7685" width="8.42578125" style="181" customWidth="1"/>
    <col min="7686" max="7686" width="8.7109375" style="181" customWidth="1"/>
    <col min="7687" max="7687" width="6.85546875" style="181" customWidth="1"/>
    <col min="7688" max="7688" width="9.140625" style="181"/>
    <col min="7689" max="7689" width="19.28515625" style="181" customWidth="1"/>
    <col min="7690" max="7930" width="9.140625" style="181"/>
    <col min="7931" max="7931" width="13.140625" style="181" customWidth="1"/>
    <col min="7932" max="7932" width="10.140625" style="181" bestFit="1" customWidth="1"/>
    <col min="7933" max="7933" width="11.140625" style="181" bestFit="1" customWidth="1"/>
    <col min="7934" max="7934" width="12.42578125" style="181" customWidth="1"/>
    <col min="7935" max="7935" width="10.42578125" style="181" customWidth="1"/>
    <col min="7936" max="7936" width="10" style="181" customWidth="1"/>
    <col min="7937" max="7937" width="9.85546875" style="181" customWidth="1"/>
    <col min="7938" max="7938" width="10.140625" style="181" customWidth="1"/>
    <col min="7939" max="7939" width="9.7109375" style="181" customWidth="1"/>
    <col min="7940" max="7940" width="12.42578125" style="181" customWidth="1"/>
    <col min="7941" max="7941" width="8.42578125" style="181" customWidth="1"/>
    <col min="7942" max="7942" width="8.7109375" style="181" customWidth="1"/>
    <col min="7943" max="7943" width="6.85546875" style="181" customWidth="1"/>
    <col min="7944" max="7944" width="9.140625" style="181"/>
    <col min="7945" max="7945" width="19.28515625" style="181" customWidth="1"/>
    <col min="7946" max="8186" width="9.140625" style="181"/>
    <col min="8187" max="8187" width="13.140625" style="181" customWidth="1"/>
    <col min="8188" max="8188" width="10.140625" style="181" bestFit="1" customWidth="1"/>
    <col min="8189" max="8189" width="11.140625" style="181" bestFit="1" customWidth="1"/>
    <col min="8190" max="8190" width="12.42578125" style="181" customWidth="1"/>
    <col min="8191" max="8191" width="10.42578125" style="181" customWidth="1"/>
    <col min="8192" max="8192" width="10" style="181" customWidth="1"/>
    <col min="8193" max="8193" width="9.85546875" style="181" customWidth="1"/>
    <col min="8194" max="8194" width="10.140625" style="181" customWidth="1"/>
    <col min="8195" max="8195" width="9.7109375" style="181" customWidth="1"/>
    <col min="8196" max="8196" width="12.42578125" style="181" customWidth="1"/>
    <col min="8197" max="8197" width="8.42578125" style="181" customWidth="1"/>
    <col min="8198" max="8198" width="8.7109375" style="181" customWidth="1"/>
    <col min="8199" max="8199" width="6.85546875" style="181" customWidth="1"/>
    <col min="8200" max="8200" width="9.140625" style="181"/>
    <col min="8201" max="8201" width="19.28515625" style="181" customWidth="1"/>
    <col min="8202" max="8442" width="9.140625" style="181"/>
    <col min="8443" max="8443" width="13.140625" style="181" customWidth="1"/>
    <col min="8444" max="8444" width="10.140625" style="181" bestFit="1" customWidth="1"/>
    <col min="8445" max="8445" width="11.140625" style="181" bestFit="1" customWidth="1"/>
    <col min="8446" max="8446" width="12.42578125" style="181" customWidth="1"/>
    <col min="8447" max="8447" width="10.42578125" style="181" customWidth="1"/>
    <col min="8448" max="8448" width="10" style="181" customWidth="1"/>
    <col min="8449" max="8449" width="9.85546875" style="181" customWidth="1"/>
    <col min="8450" max="8450" width="10.140625" style="181" customWidth="1"/>
    <col min="8451" max="8451" width="9.7109375" style="181" customWidth="1"/>
    <col min="8452" max="8452" width="12.42578125" style="181" customWidth="1"/>
    <col min="8453" max="8453" width="8.42578125" style="181" customWidth="1"/>
    <col min="8454" max="8454" width="8.7109375" style="181" customWidth="1"/>
    <col min="8455" max="8455" width="6.85546875" style="181" customWidth="1"/>
    <col min="8456" max="8456" width="9.140625" style="181"/>
    <col min="8457" max="8457" width="19.28515625" style="181" customWidth="1"/>
    <col min="8458" max="8698" width="9.140625" style="181"/>
    <col min="8699" max="8699" width="13.140625" style="181" customWidth="1"/>
    <col min="8700" max="8700" width="10.140625" style="181" bestFit="1" customWidth="1"/>
    <col min="8701" max="8701" width="11.140625" style="181" bestFit="1" customWidth="1"/>
    <col min="8702" max="8702" width="12.42578125" style="181" customWidth="1"/>
    <col min="8703" max="8703" width="10.42578125" style="181" customWidth="1"/>
    <col min="8704" max="8704" width="10" style="181" customWidth="1"/>
    <col min="8705" max="8705" width="9.85546875" style="181" customWidth="1"/>
    <col min="8706" max="8706" width="10.140625" style="181" customWidth="1"/>
    <col min="8707" max="8707" width="9.7109375" style="181" customWidth="1"/>
    <col min="8708" max="8708" width="12.42578125" style="181" customWidth="1"/>
    <col min="8709" max="8709" width="8.42578125" style="181" customWidth="1"/>
    <col min="8710" max="8710" width="8.7109375" style="181" customWidth="1"/>
    <col min="8711" max="8711" width="6.85546875" style="181" customWidth="1"/>
    <col min="8712" max="8712" width="9.140625" style="181"/>
    <col min="8713" max="8713" width="19.28515625" style="181" customWidth="1"/>
    <col min="8714" max="8954" width="9.140625" style="181"/>
    <col min="8955" max="8955" width="13.140625" style="181" customWidth="1"/>
    <col min="8956" max="8956" width="10.140625" style="181" bestFit="1" customWidth="1"/>
    <col min="8957" max="8957" width="11.140625" style="181" bestFit="1" customWidth="1"/>
    <col min="8958" max="8958" width="12.42578125" style="181" customWidth="1"/>
    <col min="8959" max="8959" width="10.42578125" style="181" customWidth="1"/>
    <col min="8960" max="8960" width="10" style="181" customWidth="1"/>
    <col min="8961" max="8961" width="9.85546875" style="181" customWidth="1"/>
    <col min="8962" max="8962" width="10.140625" style="181" customWidth="1"/>
    <col min="8963" max="8963" width="9.7109375" style="181" customWidth="1"/>
    <col min="8964" max="8964" width="12.42578125" style="181" customWidth="1"/>
    <col min="8965" max="8965" width="8.42578125" style="181" customWidth="1"/>
    <col min="8966" max="8966" width="8.7109375" style="181" customWidth="1"/>
    <col min="8967" max="8967" width="6.85546875" style="181" customWidth="1"/>
    <col min="8968" max="8968" width="9.140625" style="181"/>
    <col min="8969" max="8969" width="19.28515625" style="181" customWidth="1"/>
    <col min="8970" max="9210" width="9.140625" style="181"/>
    <col min="9211" max="9211" width="13.140625" style="181" customWidth="1"/>
    <col min="9212" max="9212" width="10.140625" style="181" bestFit="1" customWidth="1"/>
    <col min="9213" max="9213" width="11.140625" style="181" bestFit="1" customWidth="1"/>
    <col min="9214" max="9214" width="12.42578125" style="181" customWidth="1"/>
    <col min="9215" max="9215" width="10.42578125" style="181" customWidth="1"/>
    <col min="9216" max="9216" width="10" style="181" customWidth="1"/>
    <col min="9217" max="9217" width="9.85546875" style="181" customWidth="1"/>
    <col min="9218" max="9218" width="10.140625" style="181" customWidth="1"/>
    <col min="9219" max="9219" width="9.7109375" style="181" customWidth="1"/>
    <col min="9220" max="9220" width="12.42578125" style="181" customWidth="1"/>
    <col min="9221" max="9221" width="8.42578125" style="181" customWidth="1"/>
    <col min="9222" max="9222" width="8.7109375" style="181" customWidth="1"/>
    <col min="9223" max="9223" width="6.85546875" style="181" customWidth="1"/>
    <col min="9224" max="9224" width="9.140625" style="181"/>
    <col min="9225" max="9225" width="19.28515625" style="181" customWidth="1"/>
    <col min="9226" max="9466" width="9.140625" style="181"/>
    <col min="9467" max="9467" width="13.140625" style="181" customWidth="1"/>
    <col min="9468" max="9468" width="10.140625" style="181" bestFit="1" customWidth="1"/>
    <col min="9469" max="9469" width="11.140625" style="181" bestFit="1" customWidth="1"/>
    <col min="9470" max="9470" width="12.42578125" style="181" customWidth="1"/>
    <col min="9471" max="9471" width="10.42578125" style="181" customWidth="1"/>
    <col min="9472" max="9472" width="10" style="181" customWidth="1"/>
    <col min="9473" max="9473" width="9.85546875" style="181" customWidth="1"/>
    <col min="9474" max="9474" width="10.140625" style="181" customWidth="1"/>
    <col min="9475" max="9475" width="9.7109375" style="181" customWidth="1"/>
    <col min="9476" max="9476" width="12.42578125" style="181" customWidth="1"/>
    <col min="9477" max="9477" width="8.42578125" style="181" customWidth="1"/>
    <col min="9478" max="9478" width="8.7109375" style="181" customWidth="1"/>
    <col min="9479" max="9479" width="6.85546875" style="181" customWidth="1"/>
    <col min="9480" max="9480" width="9.140625" style="181"/>
    <col min="9481" max="9481" width="19.28515625" style="181" customWidth="1"/>
    <col min="9482" max="9722" width="9.140625" style="181"/>
    <col min="9723" max="9723" width="13.140625" style="181" customWidth="1"/>
    <col min="9724" max="9724" width="10.140625" style="181" bestFit="1" customWidth="1"/>
    <col min="9725" max="9725" width="11.140625" style="181" bestFit="1" customWidth="1"/>
    <col min="9726" max="9726" width="12.42578125" style="181" customWidth="1"/>
    <col min="9727" max="9727" width="10.42578125" style="181" customWidth="1"/>
    <col min="9728" max="9728" width="10" style="181" customWidth="1"/>
    <col min="9729" max="9729" width="9.85546875" style="181" customWidth="1"/>
    <col min="9730" max="9730" width="10.140625" style="181" customWidth="1"/>
    <col min="9731" max="9731" width="9.7109375" style="181" customWidth="1"/>
    <col min="9732" max="9732" width="12.42578125" style="181" customWidth="1"/>
    <col min="9733" max="9733" width="8.42578125" style="181" customWidth="1"/>
    <col min="9734" max="9734" width="8.7109375" style="181" customWidth="1"/>
    <col min="9735" max="9735" width="6.85546875" style="181" customWidth="1"/>
    <col min="9736" max="9736" width="9.140625" style="181"/>
    <col min="9737" max="9737" width="19.28515625" style="181" customWidth="1"/>
    <col min="9738" max="9978" width="9.140625" style="181"/>
    <col min="9979" max="9979" width="13.140625" style="181" customWidth="1"/>
    <col min="9980" max="9980" width="10.140625" style="181" bestFit="1" customWidth="1"/>
    <col min="9981" max="9981" width="11.140625" style="181" bestFit="1" customWidth="1"/>
    <col min="9982" max="9982" width="12.42578125" style="181" customWidth="1"/>
    <col min="9983" max="9983" width="10.42578125" style="181" customWidth="1"/>
    <col min="9984" max="9984" width="10" style="181" customWidth="1"/>
    <col min="9985" max="9985" width="9.85546875" style="181" customWidth="1"/>
    <col min="9986" max="9986" width="10.140625" style="181" customWidth="1"/>
    <col min="9987" max="9987" width="9.7109375" style="181" customWidth="1"/>
    <col min="9988" max="9988" width="12.42578125" style="181" customWidth="1"/>
    <col min="9989" max="9989" width="8.42578125" style="181" customWidth="1"/>
    <col min="9990" max="9990" width="8.7109375" style="181" customWidth="1"/>
    <col min="9991" max="9991" width="6.85546875" style="181" customWidth="1"/>
    <col min="9992" max="9992" width="9.140625" style="181"/>
    <col min="9993" max="9993" width="19.28515625" style="181" customWidth="1"/>
    <col min="9994" max="10234" width="9.140625" style="181"/>
    <col min="10235" max="10235" width="13.140625" style="181" customWidth="1"/>
    <col min="10236" max="10236" width="10.140625" style="181" bestFit="1" customWidth="1"/>
    <col min="10237" max="10237" width="11.140625" style="181" bestFit="1" customWidth="1"/>
    <col min="10238" max="10238" width="12.42578125" style="181" customWidth="1"/>
    <col min="10239" max="10239" width="10.42578125" style="181" customWidth="1"/>
    <col min="10240" max="10240" width="10" style="181" customWidth="1"/>
    <col min="10241" max="10241" width="9.85546875" style="181" customWidth="1"/>
    <col min="10242" max="10242" width="10.140625" style="181" customWidth="1"/>
    <col min="10243" max="10243" width="9.7109375" style="181" customWidth="1"/>
    <col min="10244" max="10244" width="12.42578125" style="181" customWidth="1"/>
    <col min="10245" max="10245" width="8.42578125" style="181" customWidth="1"/>
    <col min="10246" max="10246" width="8.7109375" style="181" customWidth="1"/>
    <col min="10247" max="10247" width="6.85546875" style="181" customWidth="1"/>
    <col min="10248" max="10248" width="9.140625" style="181"/>
    <col min="10249" max="10249" width="19.28515625" style="181" customWidth="1"/>
    <col min="10250" max="10490" width="9.140625" style="181"/>
    <col min="10491" max="10491" width="13.140625" style="181" customWidth="1"/>
    <col min="10492" max="10492" width="10.140625" style="181" bestFit="1" customWidth="1"/>
    <col min="10493" max="10493" width="11.140625" style="181" bestFit="1" customWidth="1"/>
    <col min="10494" max="10494" width="12.42578125" style="181" customWidth="1"/>
    <col min="10495" max="10495" width="10.42578125" style="181" customWidth="1"/>
    <col min="10496" max="10496" width="10" style="181" customWidth="1"/>
    <col min="10497" max="10497" width="9.85546875" style="181" customWidth="1"/>
    <col min="10498" max="10498" width="10.140625" style="181" customWidth="1"/>
    <col min="10499" max="10499" width="9.7109375" style="181" customWidth="1"/>
    <col min="10500" max="10500" width="12.42578125" style="181" customWidth="1"/>
    <col min="10501" max="10501" width="8.42578125" style="181" customWidth="1"/>
    <col min="10502" max="10502" width="8.7109375" style="181" customWidth="1"/>
    <col min="10503" max="10503" width="6.85546875" style="181" customWidth="1"/>
    <col min="10504" max="10504" width="9.140625" style="181"/>
    <col min="10505" max="10505" width="19.28515625" style="181" customWidth="1"/>
    <col min="10506" max="10746" width="9.140625" style="181"/>
    <col min="10747" max="10747" width="13.140625" style="181" customWidth="1"/>
    <col min="10748" max="10748" width="10.140625" style="181" bestFit="1" customWidth="1"/>
    <col min="10749" max="10749" width="11.140625" style="181" bestFit="1" customWidth="1"/>
    <col min="10750" max="10750" width="12.42578125" style="181" customWidth="1"/>
    <col min="10751" max="10751" width="10.42578125" style="181" customWidth="1"/>
    <col min="10752" max="10752" width="10" style="181" customWidth="1"/>
    <col min="10753" max="10753" width="9.85546875" style="181" customWidth="1"/>
    <col min="10754" max="10754" width="10.140625" style="181" customWidth="1"/>
    <col min="10755" max="10755" width="9.7109375" style="181" customWidth="1"/>
    <col min="10756" max="10756" width="12.42578125" style="181" customWidth="1"/>
    <col min="10757" max="10757" width="8.42578125" style="181" customWidth="1"/>
    <col min="10758" max="10758" width="8.7109375" style="181" customWidth="1"/>
    <col min="10759" max="10759" width="6.85546875" style="181" customWidth="1"/>
    <col min="10760" max="10760" width="9.140625" style="181"/>
    <col min="10761" max="10761" width="19.28515625" style="181" customWidth="1"/>
    <col min="10762" max="11002" width="9.140625" style="181"/>
    <col min="11003" max="11003" width="13.140625" style="181" customWidth="1"/>
    <col min="11004" max="11004" width="10.140625" style="181" bestFit="1" customWidth="1"/>
    <col min="11005" max="11005" width="11.140625" style="181" bestFit="1" customWidth="1"/>
    <col min="11006" max="11006" width="12.42578125" style="181" customWidth="1"/>
    <col min="11007" max="11007" width="10.42578125" style="181" customWidth="1"/>
    <col min="11008" max="11008" width="10" style="181" customWidth="1"/>
    <col min="11009" max="11009" width="9.85546875" style="181" customWidth="1"/>
    <col min="11010" max="11010" width="10.140625" style="181" customWidth="1"/>
    <col min="11011" max="11011" width="9.7109375" style="181" customWidth="1"/>
    <col min="11012" max="11012" width="12.42578125" style="181" customWidth="1"/>
    <col min="11013" max="11013" width="8.42578125" style="181" customWidth="1"/>
    <col min="11014" max="11014" width="8.7109375" style="181" customWidth="1"/>
    <col min="11015" max="11015" width="6.85546875" style="181" customWidth="1"/>
    <col min="11016" max="11016" width="9.140625" style="181"/>
    <col min="11017" max="11017" width="19.28515625" style="181" customWidth="1"/>
    <col min="11018" max="11258" width="9.140625" style="181"/>
    <col min="11259" max="11259" width="13.140625" style="181" customWidth="1"/>
    <col min="11260" max="11260" width="10.140625" style="181" bestFit="1" customWidth="1"/>
    <col min="11261" max="11261" width="11.140625" style="181" bestFit="1" customWidth="1"/>
    <col min="11262" max="11262" width="12.42578125" style="181" customWidth="1"/>
    <col min="11263" max="11263" width="10.42578125" style="181" customWidth="1"/>
    <col min="11264" max="11264" width="10" style="181" customWidth="1"/>
    <col min="11265" max="11265" width="9.85546875" style="181" customWidth="1"/>
    <col min="11266" max="11266" width="10.140625" style="181" customWidth="1"/>
    <col min="11267" max="11267" width="9.7109375" style="181" customWidth="1"/>
    <col min="11268" max="11268" width="12.42578125" style="181" customWidth="1"/>
    <col min="11269" max="11269" width="8.42578125" style="181" customWidth="1"/>
    <col min="11270" max="11270" width="8.7109375" style="181" customWidth="1"/>
    <col min="11271" max="11271" width="6.85546875" style="181" customWidth="1"/>
    <col min="11272" max="11272" width="9.140625" style="181"/>
    <col min="11273" max="11273" width="19.28515625" style="181" customWidth="1"/>
    <col min="11274" max="11514" width="9.140625" style="181"/>
    <col min="11515" max="11515" width="13.140625" style="181" customWidth="1"/>
    <col min="11516" max="11516" width="10.140625" style="181" bestFit="1" customWidth="1"/>
    <col min="11517" max="11517" width="11.140625" style="181" bestFit="1" customWidth="1"/>
    <col min="11518" max="11518" width="12.42578125" style="181" customWidth="1"/>
    <col min="11519" max="11519" width="10.42578125" style="181" customWidth="1"/>
    <col min="11520" max="11520" width="10" style="181" customWidth="1"/>
    <col min="11521" max="11521" width="9.85546875" style="181" customWidth="1"/>
    <col min="11522" max="11522" width="10.140625" style="181" customWidth="1"/>
    <col min="11523" max="11523" width="9.7109375" style="181" customWidth="1"/>
    <col min="11524" max="11524" width="12.42578125" style="181" customWidth="1"/>
    <col min="11525" max="11525" width="8.42578125" style="181" customWidth="1"/>
    <col min="11526" max="11526" width="8.7109375" style="181" customWidth="1"/>
    <col min="11527" max="11527" width="6.85546875" style="181" customWidth="1"/>
    <col min="11528" max="11528" width="9.140625" style="181"/>
    <col min="11529" max="11529" width="19.28515625" style="181" customWidth="1"/>
    <col min="11530" max="11770" width="9.140625" style="181"/>
    <col min="11771" max="11771" width="13.140625" style="181" customWidth="1"/>
    <col min="11772" max="11772" width="10.140625" style="181" bestFit="1" customWidth="1"/>
    <col min="11773" max="11773" width="11.140625" style="181" bestFit="1" customWidth="1"/>
    <col min="11774" max="11774" width="12.42578125" style="181" customWidth="1"/>
    <col min="11775" max="11775" width="10.42578125" style="181" customWidth="1"/>
    <col min="11776" max="11776" width="10" style="181" customWidth="1"/>
    <col min="11777" max="11777" width="9.85546875" style="181" customWidth="1"/>
    <col min="11778" max="11778" width="10.140625" style="181" customWidth="1"/>
    <col min="11779" max="11779" width="9.7109375" style="181" customWidth="1"/>
    <col min="11780" max="11780" width="12.42578125" style="181" customWidth="1"/>
    <col min="11781" max="11781" width="8.42578125" style="181" customWidth="1"/>
    <col min="11782" max="11782" width="8.7109375" style="181" customWidth="1"/>
    <col min="11783" max="11783" width="6.85546875" style="181" customWidth="1"/>
    <col min="11784" max="11784" width="9.140625" style="181"/>
    <col min="11785" max="11785" width="19.28515625" style="181" customWidth="1"/>
    <col min="11786" max="12026" width="9.140625" style="181"/>
    <col min="12027" max="12027" width="13.140625" style="181" customWidth="1"/>
    <col min="12028" max="12028" width="10.140625" style="181" bestFit="1" customWidth="1"/>
    <col min="12029" max="12029" width="11.140625" style="181" bestFit="1" customWidth="1"/>
    <col min="12030" max="12030" width="12.42578125" style="181" customWidth="1"/>
    <col min="12031" max="12031" width="10.42578125" style="181" customWidth="1"/>
    <col min="12032" max="12032" width="10" style="181" customWidth="1"/>
    <col min="12033" max="12033" width="9.85546875" style="181" customWidth="1"/>
    <col min="12034" max="12034" width="10.140625" style="181" customWidth="1"/>
    <col min="12035" max="12035" width="9.7109375" style="181" customWidth="1"/>
    <col min="12036" max="12036" width="12.42578125" style="181" customWidth="1"/>
    <col min="12037" max="12037" width="8.42578125" style="181" customWidth="1"/>
    <col min="12038" max="12038" width="8.7109375" style="181" customWidth="1"/>
    <col min="12039" max="12039" width="6.85546875" style="181" customWidth="1"/>
    <col min="12040" max="12040" width="9.140625" style="181"/>
    <col min="12041" max="12041" width="19.28515625" style="181" customWidth="1"/>
    <col min="12042" max="12282" width="9.140625" style="181"/>
    <col min="12283" max="12283" width="13.140625" style="181" customWidth="1"/>
    <col min="12284" max="12284" width="10.140625" style="181" bestFit="1" customWidth="1"/>
    <col min="12285" max="12285" width="11.140625" style="181" bestFit="1" customWidth="1"/>
    <col min="12286" max="12286" width="12.42578125" style="181" customWidth="1"/>
    <col min="12287" max="12287" width="10.42578125" style="181" customWidth="1"/>
    <col min="12288" max="12288" width="10" style="181" customWidth="1"/>
    <col min="12289" max="12289" width="9.85546875" style="181" customWidth="1"/>
    <col min="12290" max="12290" width="10.140625" style="181" customWidth="1"/>
    <col min="12291" max="12291" width="9.7109375" style="181" customWidth="1"/>
    <col min="12292" max="12292" width="12.42578125" style="181" customWidth="1"/>
    <col min="12293" max="12293" width="8.42578125" style="181" customWidth="1"/>
    <col min="12294" max="12294" width="8.7109375" style="181" customWidth="1"/>
    <col min="12295" max="12295" width="6.85546875" style="181" customWidth="1"/>
    <col min="12296" max="12296" width="9.140625" style="181"/>
    <col min="12297" max="12297" width="19.28515625" style="181" customWidth="1"/>
    <col min="12298" max="12538" width="9.140625" style="181"/>
    <col min="12539" max="12539" width="13.140625" style="181" customWidth="1"/>
    <col min="12540" max="12540" width="10.140625" style="181" bestFit="1" customWidth="1"/>
    <col min="12541" max="12541" width="11.140625" style="181" bestFit="1" customWidth="1"/>
    <col min="12542" max="12542" width="12.42578125" style="181" customWidth="1"/>
    <col min="12543" max="12543" width="10.42578125" style="181" customWidth="1"/>
    <col min="12544" max="12544" width="10" style="181" customWidth="1"/>
    <col min="12545" max="12545" width="9.85546875" style="181" customWidth="1"/>
    <col min="12546" max="12546" width="10.140625" style="181" customWidth="1"/>
    <col min="12547" max="12547" width="9.7109375" style="181" customWidth="1"/>
    <col min="12548" max="12548" width="12.42578125" style="181" customWidth="1"/>
    <col min="12549" max="12549" width="8.42578125" style="181" customWidth="1"/>
    <col min="12550" max="12550" width="8.7109375" style="181" customWidth="1"/>
    <col min="12551" max="12551" width="6.85546875" style="181" customWidth="1"/>
    <col min="12552" max="12552" width="9.140625" style="181"/>
    <col min="12553" max="12553" width="19.28515625" style="181" customWidth="1"/>
    <col min="12554" max="12794" width="9.140625" style="181"/>
    <col min="12795" max="12795" width="13.140625" style="181" customWidth="1"/>
    <col min="12796" max="12796" width="10.140625" style="181" bestFit="1" customWidth="1"/>
    <col min="12797" max="12797" width="11.140625" style="181" bestFit="1" customWidth="1"/>
    <col min="12798" max="12798" width="12.42578125" style="181" customWidth="1"/>
    <col min="12799" max="12799" width="10.42578125" style="181" customWidth="1"/>
    <col min="12800" max="12800" width="10" style="181" customWidth="1"/>
    <col min="12801" max="12801" width="9.85546875" style="181" customWidth="1"/>
    <col min="12802" max="12802" width="10.140625" style="181" customWidth="1"/>
    <col min="12803" max="12803" width="9.7109375" style="181" customWidth="1"/>
    <col min="12804" max="12804" width="12.42578125" style="181" customWidth="1"/>
    <col min="12805" max="12805" width="8.42578125" style="181" customWidth="1"/>
    <col min="12806" max="12806" width="8.7109375" style="181" customWidth="1"/>
    <col min="12807" max="12807" width="6.85546875" style="181" customWidth="1"/>
    <col min="12808" max="12808" width="9.140625" style="181"/>
    <col min="12809" max="12809" width="19.28515625" style="181" customWidth="1"/>
    <col min="12810" max="13050" width="9.140625" style="181"/>
    <col min="13051" max="13051" width="13.140625" style="181" customWidth="1"/>
    <col min="13052" max="13052" width="10.140625" style="181" bestFit="1" customWidth="1"/>
    <col min="13053" max="13053" width="11.140625" style="181" bestFit="1" customWidth="1"/>
    <col min="13054" max="13054" width="12.42578125" style="181" customWidth="1"/>
    <col min="13055" max="13055" width="10.42578125" style="181" customWidth="1"/>
    <col min="13056" max="13056" width="10" style="181" customWidth="1"/>
    <col min="13057" max="13057" width="9.85546875" style="181" customWidth="1"/>
    <col min="13058" max="13058" width="10.140625" style="181" customWidth="1"/>
    <col min="13059" max="13059" width="9.7109375" style="181" customWidth="1"/>
    <col min="13060" max="13060" width="12.42578125" style="181" customWidth="1"/>
    <col min="13061" max="13061" width="8.42578125" style="181" customWidth="1"/>
    <col min="13062" max="13062" width="8.7109375" style="181" customWidth="1"/>
    <col min="13063" max="13063" width="6.85546875" style="181" customWidth="1"/>
    <col min="13064" max="13064" width="9.140625" style="181"/>
    <col min="13065" max="13065" width="19.28515625" style="181" customWidth="1"/>
    <col min="13066" max="13306" width="9.140625" style="181"/>
    <col min="13307" max="13307" width="13.140625" style="181" customWidth="1"/>
    <col min="13308" max="13308" width="10.140625" style="181" bestFit="1" customWidth="1"/>
    <col min="13309" max="13309" width="11.140625" style="181" bestFit="1" customWidth="1"/>
    <col min="13310" max="13310" width="12.42578125" style="181" customWidth="1"/>
    <col min="13311" max="13311" width="10.42578125" style="181" customWidth="1"/>
    <col min="13312" max="13312" width="10" style="181" customWidth="1"/>
    <col min="13313" max="13313" width="9.85546875" style="181" customWidth="1"/>
    <col min="13314" max="13314" width="10.140625" style="181" customWidth="1"/>
    <col min="13315" max="13315" width="9.7109375" style="181" customWidth="1"/>
    <col min="13316" max="13316" width="12.42578125" style="181" customWidth="1"/>
    <col min="13317" max="13317" width="8.42578125" style="181" customWidth="1"/>
    <col min="13318" max="13318" width="8.7109375" style="181" customWidth="1"/>
    <col min="13319" max="13319" width="6.85546875" style="181" customWidth="1"/>
    <col min="13320" max="13320" width="9.140625" style="181"/>
    <col min="13321" max="13321" width="19.28515625" style="181" customWidth="1"/>
    <col min="13322" max="13562" width="9.140625" style="181"/>
    <col min="13563" max="13563" width="13.140625" style="181" customWidth="1"/>
    <col min="13564" max="13564" width="10.140625" style="181" bestFit="1" customWidth="1"/>
    <col min="13565" max="13565" width="11.140625" style="181" bestFit="1" customWidth="1"/>
    <col min="13566" max="13566" width="12.42578125" style="181" customWidth="1"/>
    <col min="13567" max="13567" width="10.42578125" style="181" customWidth="1"/>
    <col min="13568" max="13568" width="10" style="181" customWidth="1"/>
    <col min="13569" max="13569" width="9.85546875" style="181" customWidth="1"/>
    <col min="13570" max="13570" width="10.140625" style="181" customWidth="1"/>
    <col min="13571" max="13571" width="9.7109375" style="181" customWidth="1"/>
    <col min="13572" max="13572" width="12.42578125" style="181" customWidth="1"/>
    <col min="13573" max="13573" width="8.42578125" style="181" customWidth="1"/>
    <col min="13574" max="13574" width="8.7109375" style="181" customWidth="1"/>
    <col min="13575" max="13575" width="6.85546875" style="181" customWidth="1"/>
    <col min="13576" max="13576" width="9.140625" style="181"/>
    <col min="13577" max="13577" width="19.28515625" style="181" customWidth="1"/>
    <col min="13578" max="13818" width="9.140625" style="181"/>
    <col min="13819" max="13819" width="13.140625" style="181" customWidth="1"/>
    <col min="13820" max="13820" width="10.140625" style="181" bestFit="1" customWidth="1"/>
    <col min="13821" max="13821" width="11.140625" style="181" bestFit="1" customWidth="1"/>
    <col min="13822" max="13822" width="12.42578125" style="181" customWidth="1"/>
    <col min="13823" max="13823" width="10.42578125" style="181" customWidth="1"/>
    <col min="13824" max="13824" width="10" style="181" customWidth="1"/>
    <col min="13825" max="13825" width="9.85546875" style="181" customWidth="1"/>
    <col min="13826" max="13826" width="10.140625" style="181" customWidth="1"/>
    <col min="13827" max="13827" width="9.7109375" style="181" customWidth="1"/>
    <col min="13828" max="13828" width="12.42578125" style="181" customWidth="1"/>
    <col min="13829" max="13829" width="8.42578125" style="181" customWidth="1"/>
    <col min="13830" max="13830" width="8.7109375" style="181" customWidth="1"/>
    <col min="13831" max="13831" width="6.85546875" style="181" customWidth="1"/>
    <col min="13832" max="13832" width="9.140625" style="181"/>
    <col min="13833" max="13833" width="19.28515625" style="181" customWidth="1"/>
    <col min="13834" max="14074" width="9.140625" style="181"/>
    <col min="14075" max="14075" width="13.140625" style="181" customWidth="1"/>
    <col min="14076" max="14076" width="10.140625" style="181" bestFit="1" customWidth="1"/>
    <col min="14077" max="14077" width="11.140625" style="181" bestFit="1" customWidth="1"/>
    <col min="14078" max="14078" width="12.42578125" style="181" customWidth="1"/>
    <col min="14079" max="14079" width="10.42578125" style="181" customWidth="1"/>
    <col min="14080" max="14080" width="10" style="181" customWidth="1"/>
    <col min="14081" max="14081" width="9.85546875" style="181" customWidth="1"/>
    <col min="14082" max="14082" width="10.140625" style="181" customWidth="1"/>
    <col min="14083" max="14083" width="9.7109375" style="181" customWidth="1"/>
    <col min="14084" max="14084" width="12.42578125" style="181" customWidth="1"/>
    <col min="14085" max="14085" width="8.42578125" style="181" customWidth="1"/>
    <col min="14086" max="14086" width="8.7109375" style="181" customWidth="1"/>
    <col min="14087" max="14087" width="6.85546875" style="181" customWidth="1"/>
    <col min="14088" max="14088" width="9.140625" style="181"/>
    <col min="14089" max="14089" width="19.28515625" style="181" customWidth="1"/>
    <col min="14090" max="14330" width="9.140625" style="181"/>
    <col min="14331" max="14331" width="13.140625" style="181" customWidth="1"/>
    <col min="14332" max="14332" width="10.140625" style="181" bestFit="1" customWidth="1"/>
    <col min="14333" max="14333" width="11.140625" style="181" bestFit="1" customWidth="1"/>
    <col min="14334" max="14334" width="12.42578125" style="181" customWidth="1"/>
    <col min="14335" max="14335" width="10.42578125" style="181" customWidth="1"/>
    <col min="14336" max="14336" width="10" style="181" customWidth="1"/>
    <col min="14337" max="14337" width="9.85546875" style="181" customWidth="1"/>
    <col min="14338" max="14338" width="10.140625" style="181" customWidth="1"/>
    <col min="14339" max="14339" width="9.7109375" style="181" customWidth="1"/>
    <col min="14340" max="14340" width="12.42578125" style="181" customWidth="1"/>
    <col min="14341" max="14341" width="8.42578125" style="181" customWidth="1"/>
    <col min="14342" max="14342" width="8.7109375" style="181" customWidth="1"/>
    <col min="14343" max="14343" width="6.85546875" style="181" customWidth="1"/>
    <col min="14344" max="14344" width="9.140625" style="181"/>
    <col min="14345" max="14345" width="19.28515625" style="181" customWidth="1"/>
    <col min="14346" max="14586" width="9.140625" style="181"/>
    <col min="14587" max="14587" width="13.140625" style="181" customWidth="1"/>
    <col min="14588" max="14588" width="10.140625" style="181" bestFit="1" customWidth="1"/>
    <col min="14589" max="14589" width="11.140625" style="181" bestFit="1" customWidth="1"/>
    <col min="14590" max="14590" width="12.42578125" style="181" customWidth="1"/>
    <col min="14591" max="14591" width="10.42578125" style="181" customWidth="1"/>
    <col min="14592" max="14592" width="10" style="181" customWidth="1"/>
    <col min="14593" max="14593" width="9.85546875" style="181" customWidth="1"/>
    <col min="14594" max="14594" width="10.140625" style="181" customWidth="1"/>
    <col min="14595" max="14595" width="9.7109375" style="181" customWidth="1"/>
    <col min="14596" max="14596" width="12.42578125" style="181" customWidth="1"/>
    <col min="14597" max="14597" width="8.42578125" style="181" customWidth="1"/>
    <col min="14598" max="14598" width="8.7109375" style="181" customWidth="1"/>
    <col min="14599" max="14599" width="6.85546875" style="181" customWidth="1"/>
    <col min="14600" max="14600" width="9.140625" style="181"/>
    <col min="14601" max="14601" width="19.28515625" style="181" customWidth="1"/>
    <col min="14602" max="14842" width="9.140625" style="181"/>
    <col min="14843" max="14843" width="13.140625" style="181" customWidth="1"/>
    <col min="14844" max="14844" width="10.140625" style="181" bestFit="1" customWidth="1"/>
    <col min="14845" max="14845" width="11.140625" style="181" bestFit="1" customWidth="1"/>
    <col min="14846" max="14846" width="12.42578125" style="181" customWidth="1"/>
    <col min="14847" max="14847" width="10.42578125" style="181" customWidth="1"/>
    <col min="14848" max="14848" width="10" style="181" customWidth="1"/>
    <col min="14849" max="14849" width="9.85546875" style="181" customWidth="1"/>
    <col min="14850" max="14850" width="10.140625" style="181" customWidth="1"/>
    <col min="14851" max="14851" width="9.7109375" style="181" customWidth="1"/>
    <col min="14852" max="14852" width="12.42578125" style="181" customWidth="1"/>
    <col min="14853" max="14853" width="8.42578125" style="181" customWidth="1"/>
    <col min="14854" max="14854" width="8.7109375" style="181" customWidth="1"/>
    <col min="14855" max="14855" width="6.85546875" style="181" customWidth="1"/>
    <col min="14856" max="14856" width="9.140625" style="181"/>
    <col min="14857" max="14857" width="19.28515625" style="181" customWidth="1"/>
    <col min="14858" max="15098" width="9.140625" style="181"/>
    <col min="15099" max="15099" width="13.140625" style="181" customWidth="1"/>
    <col min="15100" max="15100" width="10.140625" style="181" bestFit="1" customWidth="1"/>
    <col min="15101" max="15101" width="11.140625" style="181" bestFit="1" customWidth="1"/>
    <col min="15102" max="15102" width="12.42578125" style="181" customWidth="1"/>
    <col min="15103" max="15103" width="10.42578125" style="181" customWidth="1"/>
    <col min="15104" max="15104" width="10" style="181" customWidth="1"/>
    <col min="15105" max="15105" width="9.85546875" style="181" customWidth="1"/>
    <col min="15106" max="15106" width="10.140625" style="181" customWidth="1"/>
    <col min="15107" max="15107" width="9.7109375" style="181" customWidth="1"/>
    <col min="15108" max="15108" width="12.42578125" style="181" customWidth="1"/>
    <col min="15109" max="15109" width="8.42578125" style="181" customWidth="1"/>
    <col min="15110" max="15110" width="8.7109375" style="181" customWidth="1"/>
    <col min="15111" max="15111" width="6.85546875" style="181" customWidth="1"/>
    <col min="15112" max="15112" width="9.140625" style="181"/>
    <col min="15113" max="15113" width="19.28515625" style="181" customWidth="1"/>
    <col min="15114" max="15354" width="9.140625" style="181"/>
    <col min="15355" max="15355" width="13.140625" style="181" customWidth="1"/>
    <col min="15356" max="15356" width="10.140625" style="181" bestFit="1" customWidth="1"/>
    <col min="15357" max="15357" width="11.140625" style="181" bestFit="1" customWidth="1"/>
    <col min="15358" max="15358" width="12.42578125" style="181" customWidth="1"/>
    <col min="15359" max="15359" width="10.42578125" style="181" customWidth="1"/>
    <col min="15360" max="15360" width="10" style="181" customWidth="1"/>
    <col min="15361" max="15361" width="9.85546875" style="181" customWidth="1"/>
    <col min="15362" max="15362" width="10.140625" style="181" customWidth="1"/>
    <col min="15363" max="15363" width="9.7109375" style="181" customWidth="1"/>
    <col min="15364" max="15364" width="12.42578125" style="181" customWidth="1"/>
    <col min="15365" max="15365" width="8.42578125" style="181" customWidth="1"/>
    <col min="15366" max="15366" width="8.7109375" style="181" customWidth="1"/>
    <col min="15367" max="15367" width="6.85546875" style="181" customWidth="1"/>
    <col min="15368" max="15368" width="9.140625" style="181"/>
    <col min="15369" max="15369" width="19.28515625" style="181" customWidth="1"/>
    <col min="15370" max="15610" width="9.140625" style="181"/>
    <col min="15611" max="15611" width="13.140625" style="181" customWidth="1"/>
    <col min="15612" max="15612" width="10.140625" style="181" bestFit="1" customWidth="1"/>
    <col min="15613" max="15613" width="11.140625" style="181" bestFit="1" customWidth="1"/>
    <col min="15614" max="15614" width="12.42578125" style="181" customWidth="1"/>
    <col min="15615" max="15615" width="10.42578125" style="181" customWidth="1"/>
    <col min="15616" max="15616" width="10" style="181" customWidth="1"/>
    <col min="15617" max="15617" width="9.85546875" style="181" customWidth="1"/>
    <col min="15618" max="15618" width="10.140625" style="181" customWidth="1"/>
    <col min="15619" max="15619" width="9.7109375" style="181" customWidth="1"/>
    <col min="15620" max="15620" width="12.42578125" style="181" customWidth="1"/>
    <col min="15621" max="15621" width="8.42578125" style="181" customWidth="1"/>
    <col min="15622" max="15622" width="8.7109375" style="181" customWidth="1"/>
    <col min="15623" max="15623" width="6.85546875" style="181" customWidth="1"/>
    <col min="15624" max="15624" width="9.140625" style="181"/>
    <col min="15625" max="15625" width="19.28515625" style="181" customWidth="1"/>
    <col min="15626" max="15866" width="9.140625" style="181"/>
    <col min="15867" max="15867" width="13.140625" style="181" customWidth="1"/>
    <col min="15868" max="15868" width="10.140625" style="181" bestFit="1" customWidth="1"/>
    <col min="15869" max="15869" width="11.140625" style="181" bestFit="1" customWidth="1"/>
    <col min="15870" max="15870" width="12.42578125" style="181" customWidth="1"/>
    <col min="15871" max="15871" width="10.42578125" style="181" customWidth="1"/>
    <col min="15872" max="15872" width="10" style="181" customWidth="1"/>
    <col min="15873" max="15873" width="9.85546875" style="181" customWidth="1"/>
    <col min="15874" max="15874" width="10.140625" style="181" customWidth="1"/>
    <col min="15875" max="15875" width="9.7109375" style="181" customWidth="1"/>
    <col min="15876" max="15876" width="12.42578125" style="181" customWidth="1"/>
    <col min="15877" max="15877" width="8.42578125" style="181" customWidth="1"/>
    <col min="15878" max="15878" width="8.7109375" style="181" customWidth="1"/>
    <col min="15879" max="15879" width="6.85546875" style="181" customWidth="1"/>
    <col min="15880" max="15880" width="9.140625" style="181"/>
    <col min="15881" max="15881" width="19.28515625" style="181" customWidth="1"/>
    <col min="15882" max="16122" width="9.140625" style="181"/>
    <col min="16123" max="16123" width="13.140625" style="181" customWidth="1"/>
    <col min="16124" max="16124" width="10.140625" style="181" bestFit="1" customWidth="1"/>
    <col min="16125" max="16125" width="11.140625" style="181" bestFit="1" customWidth="1"/>
    <col min="16126" max="16126" width="12.42578125" style="181" customWidth="1"/>
    <col min="16127" max="16127" width="10.42578125" style="181" customWidth="1"/>
    <col min="16128" max="16128" width="10" style="181" customWidth="1"/>
    <col min="16129" max="16129" width="9.85546875" style="181" customWidth="1"/>
    <col min="16130" max="16130" width="10.140625" style="181" customWidth="1"/>
    <col min="16131" max="16131" width="9.7109375" style="181" customWidth="1"/>
    <col min="16132" max="16132" width="12.42578125" style="181" customWidth="1"/>
    <col min="16133" max="16133" width="8.42578125" style="181" customWidth="1"/>
    <col min="16134" max="16134" width="8.7109375" style="181" customWidth="1"/>
    <col min="16135" max="16135" width="6.85546875" style="181" customWidth="1"/>
    <col min="16136" max="16136" width="9.140625" style="181"/>
    <col min="16137" max="16137" width="19.28515625" style="181" customWidth="1"/>
    <col min="16138" max="16384" width="9.140625" style="181"/>
  </cols>
  <sheetData>
    <row r="1" spans="1:19" ht="15" customHeight="1" x14ac:dyDescent="0.25">
      <c r="A1" s="299" t="s">
        <v>57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</row>
    <row r="2" spans="1:19" x14ac:dyDescent="0.25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</row>
    <row r="3" spans="1:19" x14ac:dyDescent="0.25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</row>
    <row r="4" spans="1:19" x14ac:dyDescent="0.25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</row>
    <row r="5" spans="1:19" x14ac:dyDescent="0.25">
      <c r="A5" s="299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</row>
    <row r="6" spans="1:19" ht="30.75" customHeight="1" thickBot="1" x14ac:dyDescent="0.3">
      <c r="A6" s="299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</row>
    <row r="7" spans="1:19" ht="15.75" thickBot="1" x14ac:dyDescent="0.3">
      <c r="A7" s="182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300"/>
      <c r="N7" s="300"/>
      <c r="O7" s="301"/>
    </row>
    <row r="8" spans="1:19" ht="127.5" customHeight="1" thickBot="1" x14ac:dyDescent="0.3">
      <c r="A8" s="302" t="s">
        <v>64</v>
      </c>
      <c r="B8" s="303"/>
      <c r="C8" s="303"/>
      <c r="D8" s="303"/>
      <c r="E8" s="303"/>
      <c r="F8" s="303"/>
      <c r="G8" s="303"/>
      <c r="H8" s="303"/>
      <c r="I8" s="303"/>
      <c r="J8" s="304"/>
      <c r="K8" s="304"/>
      <c r="L8" s="303"/>
      <c r="M8" s="303"/>
      <c r="N8" s="303"/>
      <c r="O8" s="305"/>
    </row>
    <row r="9" spans="1:19" s="186" customFormat="1" ht="15" customHeight="1" x14ac:dyDescent="0.2">
      <c r="A9" s="297">
        <v>2016</v>
      </c>
      <c r="B9" s="184" t="s">
        <v>34</v>
      </c>
      <c r="C9" s="185" t="s">
        <v>34</v>
      </c>
      <c r="D9" s="184" t="s">
        <v>37</v>
      </c>
      <c r="E9" s="185"/>
      <c r="F9" s="185" t="s">
        <v>37</v>
      </c>
      <c r="G9" s="184"/>
      <c r="H9" s="184" t="s">
        <v>37</v>
      </c>
      <c r="I9" s="185" t="s">
        <v>46</v>
      </c>
      <c r="J9" s="184"/>
      <c r="K9" s="184" t="s">
        <v>37</v>
      </c>
      <c r="L9" s="185" t="s">
        <v>47</v>
      </c>
      <c r="M9" s="184" t="s">
        <v>48</v>
      </c>
      <c r="N9" s="306" t="s">
        <v>65</v>
      </c>
      <c r="O9" s="307"/>
      <c r="Q9" s="292"/>
      <c r="R9" s="293"/>
      <c r="S9" s="294"/>
    </row>
    <row r="10" spans="1:19" ht="15" customHeight="1" thickBot="1" x14ac:dyDescent="0.3">
      <c r="A10" s="298"/>
      <c r="B10" s="187" t="s">
        <v>70</v>
      </c>
      <c r="C10" s="188" t="s">
        <v>49</v>
      </c>
      <c r="D10" s="189" t="s">
        <v>20</v>
      </c>
      <c r="E10" s="189"/>
      <c r="F10" s="189" t="s">
        <v>71</v>
      </c>
      <c r="G10" s="189"/>
      <c r="H10" s="189" t="s">
        <v>38</v>
      </c>
      <c r="I10" s="188" t="s">
        <v>50</v>
      </c>
      <c r="J10" s="189"/>
      <c r="K10" s="189" t="s">
        <v>51</v>
      </c>
      <c r="L10" s="190"/>
      <c r="M10" s="191"/>
      <c r="N10" s="192" t="s">
        <v>70</v>
      </c>
      <c r="O10" s="193" t="s">
        <v>49</v>
      </c>
    </row>
    <row r="11" spans="1:19" x14ac:dyDescent="0.25">
      <c r="A11" s="194" t="s">
        <v>0</v>
      </c>
      <c r="B11" s="195">
        <v>54849</v>
      </c>
      <c r="C11" s="196">
        <v>583.36</v>
      </c>
      <c r="D11" s="197">
        <v>464698.72</v>
      </c>
      <c r="E11" s="198">
        <f t="shared" ref="E11:E29" si="0">D11/B11</f>
        <v>8.4723280278583015</v>
      </c>
      <c r="F11" s="198">
        <f t="shared" ref="F11:F29" si="1">SUMIF(E11,"&gt;0")</f>
        <v>8.4723280278583015</v>
      </c>
      <c r="G11" s="199">
        <f>(D11/C11)/1000</f>
        <v>0.79658996160175521</v>
      </c>
      <c r="H11" s="199">
        <f t="shared" ref="H11:H29" si="2">SUMIF(G11,"&gt;0")</f>
        <v>0.79658996160175521</v>
      </c>
      <c r="I11" s="200">
        <f t="shared" ref="I11:I29" si="3">(C11*77.4)/27.778</f>
        <v>1625.4613003095978</v>
      </c>
      <c r="J11" s="201">
        <f t="shared" ref="J11:J29" si="4">D11/I11</f>
        <v>285.88728621929658</v>
      </c>
      <c r="K11" s="201">
        <f t="shared" ref="K11:K29" si="5">SUMIF(J11,"&gt;0")</f>
        <v>285.88728621929658</v>
      </c>
      <c r="L11" s="202">
        <f>M11*0.9</f>
        <v>9.5721708691133838</v>
      </c>
      <c r="M11" s="203">
        <f>C11/B11*1000</f>
        <v>10.635745410125981</v>
      </c>
      <c r="N11" s="204">
        <v>2619</v>
      </c>
      <c r="O11" s="205">
        <v>27.989069908814589</v>
      </c>
    </row>
    <row r="12" spans="1:19" x14ac:dyDescent="0.25">
      <c r="A12" s="206" t="s">
        <v>1</v>
      </c>
      <c r="B12" s="207">
        <v>44833</v>
      </c>
      <c r="C12" s="145">
        <v>477.62900000000002</v>
      </c>
      <c r="D12" s="208">
        <v>390221.66</v>
      </c>
      <c r="E12" s="209">
        <f t="shared" si="0"/>
        <v>8.7038935605469181</v>
      </c>
      <c r="F12" s="198">
        <f t="shared" si="1"/>
        <v>8.7038935605469181</v>
      </c>
      <c r="G12" s="199">
        <f>(D12/C12)/1000</f>
        <v>0.81699741849845797</v>
      </c>
      <c r="H12" s="199">
        <f t="shared" si="2"/>
        <v>0.81699741849845797</v>
      </c>
      <c r="I12" s="200">
        <f t="shared" si="3"/>
        <v>1330.85479876161</v>
      </c>
      <c r="J12" s="201">
        <f t="shared" si="4"/>
        <v>293.21129575000208</v>
      </c>
      <c r="K12" s="201">
        <f t="shared" si="5"/>
        <v>293.21129575000208</v>
      </c>
      <c r="L12" s="210">
        <f t="shared" ref="L12:L13" si="6">M12*0.9</f>
        <v>9.5881627372694229</v>
      </c>
      <c r="M12" s="211">
        <f t="shared" ref="M12:M13" si="7">C12/B12*1000</f>
        <v>10.653514152521581</v>
      </c>
      <c r="N12" s="212">
        <v>1834</v>
      </c>
      <c r="O12" s="213">
        <v>19.599829787234043</v>
      </c>
    </row>
    <row r="13" spans="1:19" ht="15.75" thickBot="1" x14ac:dyDescent="0.3">
      <c r="A13" s="214" t="s">
        <v>2</v>
      </c>
      <c r="B13" s="215">
        <v>44557</v>
      </c>
      <c r="C13" s="146">
        <v>475.84</v>
      </c>
      <c r="D13" s="154">
        <v>388964.29</v>
      </c>
      <c r="E13" s="216">
        <f t="shared" si="0"/>
        <v>8.7295888412595097</v>
      </c>
      <c r="F13" s="217">
        <f t="shared" si="1"/>
        <v>8.7295888412595097</v>
      </c>
      <c r="G13" s="199">
        <f>(D13/C13)/1000</f>
        <v>0.81742663500336243</v>
      </c>
      <c r="H13" s="199">
        <f t="shared" si="2"/>
        <v>0.81742663500336243</v>
      </c>
      <c r="I13" s="200">
        <f t="shared" si="3"/>
        <v>1325.869969040248</v>
      </c>
      <c r="J13" s="201">
        <f t="shared" si="4"/>
        <v>293.36533678454003</v>
      </c>
      <c r="K13" s="218">
        <f t="shared" si="5"/>
        <v>293.36533678454003</v>
      </c>
      <c r="L13" s="219">
        <f t="shared" si="6"/>
        <v>9.6114190811769191</v>
      </c>
      <c r="M13" s="220">
        <f t="shared" si="7"/>
        <v>10.679354534641021</v>
      </c>
      <c r="N13" s="221">
        <v>1645</v>
      </c>
      <c r="O13" s="222">
        <v>17.579999999999998</v>
      </c>
      <c r="Q13" s="295"/>
    </row>
    <row r="14" spans="1:19" s="234" customFormat="1" ht="16.5" thickBot="1" x14ac:dyDescent="0.3">
      <c r="A14" s="223" t="s">
        <v>39</v>
      </c>
      <c r="B14" s="224">
        <f>SUM(B11:B13)</f>
        <v>144239</v>
      </c>
      <c r="C14" s="147">
        <f>SUM(C11:C13)</f>
        <v>1536.829</v>
      </c>
      <c r="D14" s="225">
        <f>SUM(D11:D13)</f>
        <v>1243884.67</v>
      </c>
      <c r="E14" s="226">
        <f t="shared" si="0"/>
        <v>8.6237749152448355</v>
      </c>
      <c r="F14" s="226">
        <f t="shared" si="1"/>
        <v>8.6237749152448355</v>
      </c>
      <c r="G14" s="227">
        <f>(D14/C14)/1000</f>
        <v>0.80938391323953407</v>
      </c>
      <c r="H14" s="227">
        <f t="shared" si="2"/>
        <v>0.80938391323953407</v>
      </c>
      <c r="I14" s="228">
        <f t="shared" si="3"/>
        <v>4282.1860681114549</v>
      </c>
      <c r="J14" s="229">
        <f t="shared" si="4"/>
        <v>290.47889330707727</v>
      </c>
      <c r="K14" s="229">
        <f t="shared" si="5"/>
        <v>290.47889330707727</v>
      </c>
      <c r="L14" s="230">
        <f>SUM(L11:L13)/3</f>
        <v>9.5905842291865753</v>
      </c>
      <c r="M14" s="231">
        <f t="shared" ref="M14:O14" si="8">SUM(M11:M13)/3</f>
        <v>10.656204699096195</v>
      </c>
      <c r="N14" s="232">
        <f t="shared" si="8"/>
        <v>2032.6666666666667</v>
      </c>
      <c r="O14" s="233">
        <f t="shared" si="8"/>
        <v>21.722966565349541</v>
      </c>
    </row>
    <row r="15" spans="1:19" x14ac:dyDescent="0.25">
      <c r="A15" s="194" t="s">
        <v>4</v>
      </c>
      <c r="B15" s="235">
        <v>32736</v>
      </c>
      <c r="C15" s="236">
        <v>350.476</v>
      </c>
      <c r="D15" s="237">
        <v>300654.90000000002</v>
      </c>
      <c r="E15" s="198">
        <f t="shared" si="0"/>
        <v>9.1842283724340188</v>
      </c>
      <c r="F15" s="198">
        <f t="shared" si="1"/>
        <v>9.1842283724340188</v>
      </c>
      <c r="G15" s="199">
        <f>D15/C15/1000</f>
        <v>0.85784732763441729</v>
      </c>
      <c r="H15" s="199">
        <f t="shared" si="2"/>
        <v>0.85784732763441729</v>
      </c>
      <c r="I15" s="200">
        <f t="shared" si="3"/>
        <v>976.55851393188868</v>
      </c>
      <c r="J15" s="201">
        <f t="shared" si="4"/>
        <v>307.8718742510186</v>
      </c>
      <c r="K15" s="201">
        <f t="shared" si="5"/>
        <v>307.8718742510186</v>
      </c>
      <c r="L15" s="238">
        <f t="shared" ref="L15:L17" si="9">M15*0.9</f>
        <v>9.6355205278592369</v>
      </c>
      <c r="M15" s="239">
        <f t="shared" ref="M15:M17" si="10">C15/B15*1000</f>
        <v>10.706133919843596</v>
      </c>
      <c r="N15" s="221">
        <v>1769</v>
      </c>
      <c r="O15" s="240">
        <v>18.899999999999999</v>
      </c>
    </row>
    <row r="16" spans="1:19" x14ac:dyDescent="0.25">
      <c r="A16" s="206" t="s">
        <v>21</v>
      </c>
      <c r="B16" s="207">
        <v>15739</v>
      </c>
      <c r="C16" s="241">
        <v>168.90886</v>
      </c>
      <c r="D16" s="242">
        <v>172758.83</v>
      </c>
      <c r="E16" s="209">
        <f t="shared" si="0"/>
        <v>10.976480716691022</v>
      </c>
      <c r="F16" s="209">
        <f t="shared" si="1"/>
        <v>10.976480716691022</v>
      </c>
      <c r="G16" s="243">
        <f t="shared" ref="G16:G26" si="11">(D16/C16)/1000</f>
        <v>1.0227931797064995</v>
      </c>
      <c r="H16" s="199">
        <f t="shared" si="2"/>
        <v>1.0227931797064995</v>
      </c>
      <c r="I16" s="200">
        <f t="shared" si="3"/>
        <v>470.6438823529412</v>
      </c>
      <c r="J16" s="201">
        <f t="shared" si="4"/>
        <v>367.06910782799929</v>
      </c>
      <c r="K16" s="201">
        <f t="shared" si="5"/>
        <v>367.06910782799929</v>
      </c>
      <c r="L16" s="210">
        <f t="shared" si="9"/>
        <v>9.6586806023254344</v>
      </c>
      <c r="M16" s="211">
        <f t="shared" si="10"/>
        <v>10.731867335917149</v>
      </c>
      <c r="N16" s="212">
        <v>1096</v>
      </c>
      <c r="O16" s="213">
        <v>11.77</v>
      </c>
    </row>
    <row r="17" spans="1:15" ht="15.75" thickBot="1" x14ac:dyDescent="0.3">
      <c r="A17" s="214" t="s">
        <v>5</v>
      </c>
      <c r="B17" s="215">
        <v>9243</v>
      </c>
      <c r="C17" s="148">
        <v>99.57</v>
      </c>
      <c r="D17" s="154">
        <v>123913.51</v>
      </c>
      <c r="E17" s="216">
        <f t="shared" si="0"/>
        <v>13.406200367845937</v>
      </c>
      <c r="F17" s="216">
        <f t="shared" si="1"/>
        <v>13.406200367845937</v>
      </c>
      <c r="G17" s="244">
        <f t="shared" si="11"/>
        <v>1.2444863914833786</v>
      </c>
      <c r="H17" s="245">
        <f t="shared" si="2"/>
        <v>1.2444863914833786</v>
      </c>
      <c r="I17" s="200">
        <f t="shared" si="3"/>
        <v>277.43962848297213</v>
      </c>
      <c r="J17" s="201">
        <f t="shared" si="4"/>
        <v>446.6323382768125</v>
      </c>
      <c r="K17" s="218">
        <f t="shared" si="5"/>
        <v>446.6323382768125</v>
      </c>
      <c r="L17" s="246">
        <f t="shared" si="9"/>
        <v>9.6952288218110994</v>
      </c>
      <c r="M17" s="247">
        <f t="shared" si="10"/>
        <v>10.772476468678999</v>
      </c>
      <c r="N17" s="221">
        <v>387</v>
      </c>
      <c r="O17" s="222">
        <v>4.17</v>
      </c>
    </row>
    <row r="18" spans="1:15" s="234" customFormat="1" ht="16.5" thickBot="1" x14ac:dyDescent="0.3">
      <c r="A18" s="223" t="s">
        <v>40</v>
      </c>
      <c r="B18" s="224">
        <f>SUM(B15:B17)</f>
        <v>57718</v>
      </c>
      <c r="C18" s="149">
        <f>SUM(C15:C17)</f>
        <v>618.95486000000005</v>
      </c>
      <c r="D18" s="225">
        <f>SUM(D15:D17)</f>
        <v>597327.24</v>
      </c>
      <c r="E18" s="226">
        <f t="shared" si="0"/>
        <v>10.349063377109394</v>
      </c>
      <c r="F18" s="226">
        <f t="shared" si="1"/>
        <v>10.349063377109394</v>
      </c>
      <c r="G18" s="227">
        <f t="shared" si="11"/>
        <v>0.96505783959754343</v>
      </c>
      <c r="H18" s="227">
        <f t="shared" si="2"/>
        <v>0.96505783959754343</v>
      </c>
      <c r="I18" s="228">
        <f t="shared" si="3"/>
        <v>1724.642024767802</v>
      </c>
      <c r="J18" s="229">
        <f t="shared" si="4"/>
        <v>346.34853576667393</v>
      </c>
      <c r="K18" s="229">
        <f t="shared" si="5"/>
        <v>346.34853576667393</v>
      </c>
      <c r="L18" s="230">
        <f>SUM(L15:L17)/3</f>
        <v>9.6631433173319241</v>
      </c>
      <c r="M18" s="231">
        <f t="shared" ref="M18" si="12">SUM(M15:M17)/3</f>
        <v>10.73682590814658</v>
      </c>
      <c r="N18" s="232">
        <f t="shared" ref="N18" si="13">SUM(N15:N17)/3</f>
        <v>1084</v>
      </c>
      <c r="O18" s="233">
        <f>SUM(O15:O17)/3</f>
        <v>11.613333333333332</v>
      </c>
    </row>
    <row r="19" spans="1:15" s="257" customFormat="1" ht="19.5" thickBot="1" x14ac:dyDescent="0.35">
      <c r="A19" s="248" t="s">
        <v>41</v>
      </c>
      <c r="B19" s="249">
        <f>B14+B18</f>
        <v>201957</v>
      </c>
      <c r="C19" s="150">
        <f>C14+C18</f>
        <v>2155.78386</v>
      </c>
      <c r="D19" s="250">
        <f>D14+D18</f>
        <v>1841211.91</v>
      </c>
      <c r="E19" s="251">
        <f t="shared" si="0"/>
        <v>9.1168511613858385</v>
      </c>
      <c r="F19" s="251">
        <f t="shared" si="1"/>
        <v>9.1168511613858385</v>
      </c>
      <c r="G19" s="252">
        <f t="shared" si="11"/>
        <v>0.85408001431089653</v>
      </c>
      <c r="H19" s="252">
        <f t="shared" si="2"/>
        <v>0.85408001431089653</v>
      </c>
      <c r="I19" s="253">
        <f t="shared" si="3"/>
        <v>6006.8280928792574</v>
      </c>
      <c r="J19" s="254">
        <f t="shared" si="4"/>
        <v>306.51982735824396</v>
      </c>
      <c r="K19" s="254">
        <f t="shared" si="5"/>
        <v>306.51982735824396</v>
      </c>
      <c r="L19" s="255">
        <f>(L18+L14)/2</f>
        <v>9.6268637732592488</v>
      </c>
      <c r="M19" s="256">
        <f t="shared" ref="M19" si="14">(M18+M14)/2</f>
        <v>10.696515303621387</v>
      </c>
      <c r="N19" s="105">
        <f>(N18+N14)/2</f>
        <v>1558.3333333333335</v>
      </c>
      <c r="O19" s="106">
        <f>(O18+O14)/2</f>
        <v>16.668149949341437</v>
      </c>
    </row>
    <row r="20" spans="1:15" x14ac:dyDescent="0.25">
      <c r="A20" s="258" t="s">
        <v>6</v>
      </c>
      <c r="B20" s="235">
        <v>9074</v>
      </c>
      <c r="C20" s="259">
        <v>97.210999999999999</v>
      </c>
      <c r="D20" s="237">
        <v>122254.64</v>
      </c>
      <c r="E20" s="260">
        <f t="shared" si="0"/>
        <v>13.473070310778047</v>
      </c>
      <c r="F20" s="260">
        <f t="shared" si="1"/>
        <v>13.473070310778047</v>
      </c>
      <c r="G20" s="261">
        <f t="shared" si="11"/>
        <v>1.2576214625916822</v>
      </c>
      <c r="H20" s="199">
        <f t="shared" si="2"/>
        <v>1.2576214625916822</v>
      </c>
      <c r="I20" s="200">
        <f t="shared" si="3"/>
        <v>270.86656346749226</v>
      </c>
      <c r="J20" s="201">
        <f t="shared" si="4"/>
        <v>451.34636935234812</v>
      </c>
      <c r="K20" s="201">
        <f t="shared" si="5"/>
        <v>451.34636935234812</v>
      </c>
      <c r="L20" s="262">
        <f t="shared" ref="L20:L22" si="15">M20*0.9</f>
        <v>9.6418227903901261</v>
      </c>
      <c r="M20" s="263">
        <f t="shared" ref="M20:M22" si="16">C20/B20*1000</f>
        <v>10.713136433766806</v>
      </c>
      <c r="N20" s="264">
        <v>354</v>
      </c>
      <c r="O20" s="240">
        <v>3.79</v>
      </c>
    </row>
    <row r="21" spans="1:15" x14ac:dyDescent="0.25">
      <c r="A21" s="206" t="s">
        <v>8</v>
      </c>
      <c r="B21" s="207">
        <v>8950</v>
      </c>
      <c r="C21" s="241">
        <v>95.691000000000003</v>
      </c>
      <c r="D21" s="208">
        <v>121183.94</v>
      </c>
      <c r="E21" s="209">
        <f t="shared" si="0"/>
        <v>13.540105027932961</v>
      </c>
      <c r="F21" s="209">
        <f t="shared" si="1"/>
        <v>13.540105027932961</v>
      </c>
      <c r="G21" s="243">
        <f t="shared" si="11"/>
        <v>1.2664089621803514</v>
      </c>
      <c r="H21" s="199">
        <f t="shared" si="2"/>
        <v>1.2664089621803514</v>
      </c>
      <c r="I21" s="200">
        <f t="shared" si="3"/>
        <v>266.63126934984524</v>
      </c>
      <c r="J21" s="201">
        <f t="shared" si="4"/>
        <v>454.50010531583712</v>
      </c>
      <c r="K21" s="201">
        <f t="shared" si="5"/>
        <v>454.50010531583712</v>
      </c>
      <c r="L21" s="210">
        <f t="shared" si="15"/>
        <v>9.6225586592178765</v>
      </c>
      <c r="M21" s="211">
        <f t="shared" si="16"/>
        <v>10.691731843575418</v>
      </c>
      <c r="N21" s="212">
        <v>382</v>
      </c>
      <c r="O21" s="213">
        <v>4.09</v>
      </c>
    </row>
    <row r="22" spans="1:15" ht="15.75" thickBot="1" x14ac:dyDescent="0.3">
      <c r="A22" s="214" t="s">
        <v>9</v>
      </c>
      <c r="B22" s="180">
        <v>9635</v>
      </c>
      <c r="C22" s="151">
        <v>103.19799999999999</v>
      </c>
      <c r="D22" s="154">
        <v>126471.89</v>
      </c>
      <c r="E22" s="216">
        <f t="shared" si="0"/>
        <v>13.126298910223145</v>
      </c>
      <c r="F22" s="216">
        <f t="shared" si="1"/>
        <v>13.126298910223145</v>
      </c>
      <c r="G22" s="244">
        <f t="shared" si="11"/>
        <v>1.2255265605922596</v>
      </c>
      <c r="H22" s="245">
        <f t="shared" si="2"/>
        <v>1.2255265605922596</v>
      </c>
      <c r="I22" s="200">
        <f t="shared" si="3"/>
        <v>287.54860681114553</v>
      </c>
      <c r="J22" s="201">
        <f t="shared" si="4"/>
        <v>439.82786563477754</v>
      </c>
      <c r="K22" s="218">
        <f t="shared" si="5"/>
        <v>439.82786563477754</v>
      </c>
      <c r="L22" s="219">
        <f t="shared" si="15"/>
        <v>9.6396678775298401</v>
      </c>
      <c r="M22" s="220">
        <f t="shared" si="16"/>
        <v>10.710742086144267</v>
      </c>
      <c r="N22" s="221">
        <v>769</v>
      </c>
      <c r="O22" s="222">
        <v>8.23</v>
      </c>
    </row>
    <row r="23" spans="1:15" s="234" customFormat="1" ht="16.5" thickBot="1" x14ac:dyDescent="0.3">
      <c r="A23" s="223" t="s">
        <v>42</v>
      </c>
      <c r="B23" s="224">
        <f>SUM(B20:B22)</f>
        <v>27659</v>
      </c>
      <c r="C23" s="149">
        <f>SUM(C20:C22)</f>
        <v>296.09999999999997</v>
      </c>
      <c r="D23" s="225">
        <f>SUM(D20:D22)</f>
        <v>369910.47000000003</v>
      </c>
      <c r="E23" s="226">
        <f t="shared" si="0"/>
        <v>13.373963990021332</v>
      </c>
      <c r="F23" s="226">
        <f t="shared" si="1"/>
        <v>13.373963990021332</v>
      </c>
      <c r="G23" s="227">
        <f t="shared" si="11"/>
        <v>1.2492754812563325</v>
      </c>
      <c r="H23" s="227">
        <f t="shared" si="2"/>
        <v>1.2492754812563325</v>
      </c>
      <c r="I23" s="228">
        <f t="shared" si="3"/>
        <v>825.04643962848297</v>
      </c>
      <c r="J23" s="229">
        <f t="shared" si="4"/>
        <v>448.35108938421706</v>
      </c>
      <c r="K23" s="229">
        <f t="shared" si="5"/>
        <v>448.35108938421706</v>
      </c>
      <c r="L23" s="230">
        <f>SUM(L20:L22)/3</f>
        <v>9.6346831090459464</v>
      </c>
      <c r="M23" s="231">
        <f t="shared" ref="M23" si="17">SUM(M20:M22)/3</f>
        <v>10.705203454495496</v>
      </c>
      <c r="N23" s="232">
        <f>SUM(N20:N22)/3</f>
        <v>501.66666666666669</v>
      </c>
      <c r="O23" s="233">
        <f t="shared" ref="O23" si="18">SUM(O20:O22)/3</f>
        <v>5.37</v>
      </c>
    </row>
    <row r="24" spans="1:15" x14ac:dyDescent="0.25">
      <c r="A24" s="265" t="s">
        <v>11</v>
      </c>
      <c r="B24" s="195">
        <v>35874</v>
      </c>
      <c r="C24" s="266">
        <v>382.31</v>
      </c>
      <c r="D24" s="267">
        <v>323075.98</v>
      </c>
      <c r="E24" s="198">
        <f t="shared" si="0"/>
        <v>9.0058532642024858</v>
      </c>
      <c r="F24" s="198">
        <f t="shared" si="1"/>
        <v>9.0058532642024858</v>
      </c>
      <c r="G24" s="199">
        <f t="shared" si="11"/>
        <v>0.84506285475137977</v>
      </c>
      <c r="H24" s="199">
        <f t="shared" si="2"/>
        <v>0.84506285475137977</v>
      </c>
      <c r="I24" s="200">
        <f t="shared" si="3"/>
        <v>1065.2600619195048</v>
      </c>
      <c r="J24" s="201">
        <f t="shared" si="4"/>
        <v>303.28366898299515</v>
      </c>
      <c r="K24" s="201">
        <f t="shared" si="5"/>
        <v>303.28366898299515</v>
      </c>
      <c r="L24" s="238">
        <f>M24*0.9</f>
        <v>9.5913196186653273</v>
      </c>
      <c r="M24" s="239">
        <f>(C24/B24)*1000</f>
        <v>10.657021798517031</v>
      </c>
      <c r="N24" s="264">
        <v>1602</v>
      </c>
      <c r="O24" s="240">
        <v>17.07</v>
      </c>
    </row>
    <row r="25" spans="1:15" x14ac:dyDescent="0.25">
      <c r="A25" s="206" t="s">
        <v>43</v>
      </c>
      <c r="B25" s="268">
        <v>47493</v>
      </c>
      <c r="C25" s="241">
        <v>505.31</v>
      </c>
      <c r="D25" s="269">
        <v>409723</v>
      </c>
      <c r="E25" s="198">
        <f t="shared" si="0"/>
        <v>8.6270187185479958</v>
      </c>
      <c r="F25" s="198">
        <f t="shared" si="1"/>
        <v>8.6270187185479958</v>
      </c>
      <c r="G25" s="199">
        <f t="shared" si="11"/>
        <v>0.81083493301141873</v>
      </c>
      <c r="H25" s="199">
        <f t="shared" si="2"/>
        <v>0.81083493301141873</v>
      </c>
      <c r="I25" s="200">
        <f t="shared" si="3"/>
        <v>1407.9845201238393</v>
      </c>
      <c r="J25" s="201">
        <f t="shared" si="4"/>
        <v>290.99964818076467</v>
      </c>
      <c r="K25" s="201">
        <f t="shared" si="5"/>
        <v>290.99964818076467</v>
      </c>
      <c r="L25" s="210">
        <f t="shared" ref="L25:L26" si="19">M25*0.9</f>
        <v>9.5757058935000945</v>
      </c>
      <c r="M25" s="211">
        <f t="shared" ref="M25:M26" si="20">C25/B25*1000</f>
        <v>10.639673215000105</v>
      </c>
      <c r="N25" s="212">
        <v>1950</v>
      </c>
      <c r="O25" s="213">
        <v>20.75</v>
      </c>
    </row>
    <row r="26" spans="1:15" ht="15.75" thickBot="1" x14ac:dyDescent="0.3">
      <c r="A26" s="214" t="s">
        <v>13</v>
      </c>
      <c r="B26" s="180">
        <v>51961</v>
      </c>
      <c r="C26" s="148">
        <v>552.84799999999996</v>
      </c>
      <c r="D26" s="154">
        <v>443206.02</v>
      </c>
      <c r="E26" s="270">
        <f t="shared" si="0"/>
        <v>8.5295898847212328</v>
      </c>
      <c r="F26" s="270">
        <f t="shared" si="1"/>
        <v>8.5295898847212328</v>
      </c>
      <c r="G26" s="271">
        <f t="shared" si="11"/>
        <v>0.80167789338118267</v>
      </c>
      <c r="H26" s="271">
        <f t="shared" si="2"/>
        <v>0.80167789338118267</v>
      </c>
      <c r="I26" s="272">
        <f t="shared" si="3"/>
        <v>1540.4433436532508</v>
      </c>
      <c r="J26" s="218">
        <f t="shared" si="4"/>
        <v>287.7132884023577</v>
      </c>
      <c r="K26" s="218">
        <f t="shared" si="5"/>
        <v>287.7132884023577</v>
      </c>
      <c r="L26" s="219">
        <f t="shared" si="19"/>
        <v>9.5757048555647497</v>
      </c>
      <c r="M26" s="220">
        <f t="shared" si="20"/>
        <v>10.63967206173861</v>
      </c>
      <c r="N26" s="221">
        <v>2035</v>
      </c>
      <c r="O26" s="222">
        <v>21.64</v>
      </c>
    </row>
    <row r="27" spans="1:15" s="234" customFormat="1" ht="16.5" thickBot="1" x14ac:dyDescent="0.3">
      <c r="A27" s="223" t="s">
        <v>44</v>
      </c>
      <c r="B27" s="224">
        <f>SUM(B24:B26)</f>
        <v>135328</v>
      </c>
      <c r="C27" s="149">
        <f>SUM(C24:C26)</f>
        <v>1440.4679999999998</v>
      </c>
      <c r="D27" s="225">
        <f>SUM(D24:D26)</f>
        <v>1176005</v>
      </c>
      <c r="E27" s="226">
        <f t="shared" si="0"/>
        <v>8.6900345826436514</v>
      </c>
      <c r="F27" s="226">
        <f t="shared" si="1"/>
        <v>8.6900345826436514</v>
      </c>
      <c r="G27" s="227">
        <f>D27/(C27*1000)</f>
        <v>0.81640480732650789</v>
      </c>
      <c r="H27" s="227">
        <f t="shared" si="2"/>
        <v>0.81640480732650789</v>
      </c>
      <c r="I27" s="228">
        <f t="shared" si="3"/>
        <v>4013.6879256965944</v>
      </c>
      <c r="J27" s="229">
        <f t="shared" si="4"/>
        <v>292.99861418495777</v>
      </c>
      <c r="K27" s="229">
        <f t="shared" si="5"/>
        <v>292.99861418495777</v>
      </c>
      <c r="L27" s="230">
        <f>SUM(L24:L26)/3</f>
        <v>9.580910122576725</v>
      </c>
      <c r="M27" s="231">
        <f t="shared" ref="M27" si="21">SUM(M24:M26)/3</f>
        <v>10.645455691751915</v>
      </c>
      <c r="N27" s="232">
        <f t="shared" ref="N27" si="22">SUM(N24:N26)/3</f>
        <v>1862.3333333333333</v>
      </c>
      <c r="O27" s="233">
        <f t="shared" ref="O27" si="23">SUM(O24:O26)/3</f>
        <v>19.82</v>
      </c>
    </row>
    <row r="28" spans="1:15" s="257" customFormat="1" ht="19.5" thickBot="1" x14ac:dyDescent="0.35">
      <c r="A28" s="248" t="s">
        <v>45</v>
      </c>
      <c r="B28" s="249">
        <f>B27+B23</f>
        <v>162987</v>
      </c>
      <c r="C28" s="150">
        <f>C27+C23</f>
        <v>1736.5679999999998</v>
      </c>
      <c r="D28" s="250">
        <f>D27+D23</f>
        <v>1545915.47</v>
      </c>
      <c r="E28" s="273">
        <f t="shared" si="0"/>
        <v>9.484900452183302</v>
      </c>
      <c r="F28" s="273">
        <f t="shared" si="1"/>
        <v>9.484900452183302</v>
      </c>
      <c r="G28" s="274">
        <f>D28/(C28*1000)</f>
        <v>0.89021303513596939</v>
      </c>
      <c r="H28" s="274">
        <f t="shared" si="2"/>
        <v>0.89021303513596939</v>
      </c>
      <c r="I28" s="249">
        <f t="shared" si="3"/>
        <v>4838.7343653250773</v>
      </c>
      <c r="J28" s="254">
        <f t="shared" si="4"/>
        <v>319.48756705435346</v>
      </c>
      <c r="K28" s="254">
        <f t="shared" si="5"/>
        <v>319.48756705435346</v>
      </c>
      <c r="L28" s="255">
        <f>(L27+L23)/2</f>
        <v>9.6077966158113348</v>
      </c>
      <c r="M28" s="256">
        <f t="shared" ref="M28" si="24">(M27+M23)/2</f>
        <v>10.675329573123705</v>
      </c>
      <c r="N28" s="107">
        <f t="shared" ref="N28" si="25">(N27+N23)/2</f>
        <v>1182</v>
      </c>
      <c r="O28" s="108">
        <f>(O27+O23)/2</f>
        <v>12.595000000000001</v>
      </c>
    </row>
    <row r="29" spans="1:15" s="285" customFormat="1" ht="21.75" thickBot="1" x14ac:dyDescent="0.4">
      <c r="A29" s="275" t="s">
        <v>14</v>
      </c>
      <c r="B29" s="276">
        <f>B28+B19</f>
        <v>364944</v>
      </c>
      <c r="C29" s="152">
        <f>C28+C19</f>
        <v>3892.3518599999998</v>
      </c>
      <c r="D29" s="277">
        <f>D28+D19</f>
        <v>3387127.38</v>
      </c>
      <c r="E29" s="278">
        <f t="shared" si="0"/>
        <v>9.2812250098645261</v>
      </c>
      <c r="F29" s="278">
        <f t="shared" si="1"/>
        <v>9.2812250098645261</v>
      </c>
      <c r="G29" s="278">
        <f>(D29/C29)/1000</f>
        <v>0.87020071715715863</v>
      </c>
      <c r="H29" s="278">
        <f t="shared" si="2"/>
        <v>0.87020071715715863</v>
      </c>
      <c r="I29" s="276">
        <f t="shared" si="3"/>
        <v>10845.562458204335</v>
      </c>
      <c r="J29" s="279">
        <f t="shared" si="4"/>
        <v>312.30536849084689</v>
      </c>
      <c r="K29" s="280">
        <f t="shared" si="5"/>
        <v>312.30536849084689</v>
      </c>
      <c r="L29" s="281">
        <f>(L28+L19)/2</f>
        <v>9.6173301945352918</v>
      </c>
      <c r="M29" s="282">
        <f>(M28+M19)/2</f>
        <v>10.685922438372547</v>
      </c>
      <c r="N29" s="283">
        <f t="shared" ref="N29:O29" si="26">(N28+N19)/2</f>
        <v>1370.1666666666667</v>
      </c>
      <c r="O29" s="284">
        <f t="shared" si="26"/>
        <v>14.63157497467072</v>
      </c>
    </row>
    <row r="31" spans="1:15" ht="15.75" x14ac:dyDescent="0.25">
      <c r="C31" s="286"/>
      <c r="D31" s="286"/>
      <c r="E31" s="287"/>
      <c r="F31" s="287"/>
      <c r="G31" s="288"/>
      <c r="H31" s="288"/>
      <c r="I31" s="287"/>
      <c r="J31" s="287"/>
      <c r="K31" s="287"/>
      <c r="L31" s="286"/>
    </row>
    <row r="32" spans="1:15" ht="18.75" x14ac:dyDescent="0.3">
      <c r="C32" s="286"/>
      <c r="D32" s="286"/>
      <c r="E32" s="289"/>
      <c r="F32" s="289"/>
      <c r="G32" s="289"/>
      <c r="H32" s="289"/>
      <c r="I32" s="290"/>
      <c r="J32" s="289"/>
      <c r="K32" s="289"/>
      <c r="L32" s="286"/>
    </row>
    <row r="33" spans="3:12" ht="21" x14ac:dyDescent="0.35">
      <c r="C33" s="286"/>
      <c r="D33" s="286"/>
      <c r="E33" s="291"/>
      <c r="F33" s="291"/>
      <c r="G33" s="291"/>
      <c r="H33" s="291"/>
      <c r="I33" s="291"/>
      <c r="J33" s="291"/>
      <c r="K33" s="291"/>
      <c r="L33" s="286"/>
    </row>
  </sheetData>
  <mergeCells count="5">
    <mergeCell ref="A9:A10"/>
    <mergeCell ref="A1:O6"/>
    <mergeCell ref="M7:O7"/>
    <mergeCell ref="A8:O8"/>
    <mergeCell ref="N9:O9"/>
  </mergeCells>
  <pageMargins left="0" right="0" top="0" bottom="0" header="0" footer="0"/>
  <pageSetup paperSize="9" orientation="landscape" r:id="rId1"/>
  <ignoredErrors>
    <ignoredError sqref="J11:J13 J29 L16:L22 E14:E28 G16:G28 I16:J28 M25 M24 M26:M29 L24 L29" evalError="1"/>
    <ignoredError sqref="L14:L15 G14:G15 I14:J15 L23 L25:L28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6" workbookViewId="0">
      <selection activeCell="J29" sqref="J29"/>
    </sheetView>
  </sheetViews>
  <sheetFormatPr defaultRowHeight="15" x14ac:dyDescent="0.25"/>
  <cols>
    <col min="1" max="1" width="11.42578125" customWidth="1"/>
    <col min="2" max="2" width="8.85546875" customWidth="1"/>
    <col min="3" max="3" width="11" customWidth="1"/>
    <col min="4" max="4" width="10.28515625" hidden="1" customWidth="1"/>
    <col min="5" max="5" width="18.85546875" customWidth="1"/>
    <col min="6" max="6" width="12.7109375" hidden="1" customWidth="1"/>
    <col min="7" max="7" width="12.7109375" customWidth="1"/>
    <col min="8" max="8" width="9.85546875" customWidth="1"/>
    <col min="9" max="9" width="18.85546875" customWidth="1"/>
    <col min="10" max="10" width="19.28515625" customWidth="1"/>
    <col min="11" max="12" width="16.85546875" customWidth="1"/>
    <col min="13" max="13" width="4" customWidth="1"/>
    <col min="14" max="14" width="8" customWidth="1"/>
    <col min="16" max="16" width="9.85546875" bestFit="1" customWidth="1"/>
  </cols>
  <sheetData>
    <row r="1" spans="1:14" ht="65.25" customHeight="1" x14ac:dyDescent="0.25">
      <c r="A1" s="299" t="s">
        <v>57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</row>
    <row r="2" spans="1:14" x14ac:dyDescent="0.25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</row>
    <row r="3" spans="1:14" x14ac:dyDescent="0.25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</row>
    <row r="4" spans="1:14" x14ac:dyDescent="0.25">
      <c r="A4" s="315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</row>
    <row r="5" spans="1:14" x14ac:dyDescent="0.25">
      <c r="A5" s="315"/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</row>
    <row r="6" spans="1:14" ht="15.75" thickBot="1" x14ac:dyDescent="0.3">
      <c r="A6" s="316"/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</row>
    <row r="7" spans="1:14" ht="18.75" customHeight="1" thickBot="1" x14ac:dyDescent="0.3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</row>
    <row r="8" spans="1:14" s="45" customFormat="1" ht="93" thickBot="1" x14ac:dyDescent="1.4">
      <c r="A8" s="308" t="s">
        <v>66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10"/>
    </row>
    <row r="9" spans="1:14" s="2" customFormat="1" ht="15.75" x14ac:dyDescent="0.25">
      <c r="A9" s="311">
        <v>2016</v>
      </c>
      <c r="B9" s="142" t="s">
        <v>52</v>
      </c>
      <c r="C9" s="142" t="s">
        <v>34</v>
      </c>
      <c r="D9" s="155"/>
      <c r="E9" s="142" t="s">
        <v>37</v>
      </c>
      <c r="F9" s="142"/>
      <c r="G9" s="155" t="s">
        <v>69</v>
      </c>
      <c r="H9" s="142" t="s">
        <v>53</v>
      </c>
      <c r="I9" s="142" t="s">
        <v>54</v>
      </c>
      <c r="J9" s="142" t="s">
        <v>55</v>
      </c>
      <c r="K9" s="313" t="s">
        <v>22</v>
      </c>
      <c r="L9" s="314"/>
    </row>
    <row r="10" spans="1:14" s="2" customFormat="1" ht="15.75" x14ac:dyDescent="0.25">
      <c r="A10" s="312"/>
      <c r="B10" s="143" t="s">
        <v>67</v>
      </c>
      <c r="C10" s="143" t="s">
        <v>67</v>
      </c>
      <c r="D10" s="143"/>
      <c r="E10" s="143" t="s">
        <v>20</v>
      </c>
      <c r="F10" s="143"/>
      <c r="G10" s="143" t="s">
        <v>20</v>
      </c>
      <c r="H10" s="143" t="s">
        <v>56</v>
      </c>
      <c r="I10" s="143" t="s">
        <v>20</v>
      </c>
      <c r="J10" s="143" t="s">
        <v>20</v>
      </c>
      <c r="K10" s="143" t="s">
        <v>26</v>
      </c>
      <c r="L10" s="144" t="s">
        <v>27</v>
      </c>
    </row>
    <row r="11" spans="1:14" x14ac:dyDescent="0.25">
      <c r="A11" s="59" t="s">
        <v>0</v>
      </c>
      <c r="B11" s="114">
        <v>19796</v>
      </c>
      <c r="C11" s="115">
        <f>SUMIF(D11,"&gt;0")</f>
        <v>4055</v>
      </c>
      <c r="D11" s="115">
        <f>B12-B11</f>
        <v>4055</v>
      </c>
      <c r="E11" s="137">
        <v>397402</v>
      </c>
      <c r="F11" s="125">
        <f>E11/C11</f>
        <v>98.002959309494457</v>
      </c>
      <c r="G11" s="125">
        <f t="shared" ref="G11:G29" si="0">SUMIF(F11,"&gt;0")</f>
        <v>98.002959309494457</v>
      </c>
      <c r="H11" s="117">
        <v>27</v>
      </c>
      <c r="I11" s="129">
        <v>201452.4</v>
      </c>
      <c r="J11" s="129">
        <v>195949.77</v>
      </c>
      <c r="K11" s="129">
        <v>41100</v>
      </c>
      <c r="L11" s="133"/>
      <c r="M11" s="165"/>
      <c r="N11" s="165">
        <f>C11/H11</f>
        <v>150.18518518518519</v>
      </c>
    </row>
    <row r="12" spans="1:14" x14ac:dyDescent="0.25">
      <c r="A12" s="59" t="s">
        <v>1</v>
      </c>
      <c r="B12" s="114">
        <v>23851</v>
      </c>
      <c r="C12" s="116">
        <f t="shared" ref="C12:C13" si="1">SUMIF(D12,"&gt;0")</f>
        <v>4110</v>
      </c>
      <c r="D12" s="116">
        <f>B13-B12</f>
        <v>4110</v>
      </c>
      <c r="E12" s="138">
        <v>402792</v>
      </c>
      <c r="F12" s="125">
        <f t="shared" ref="F12:F28" si="2">E12/C12</f>
        <v>98.002919708029196</v>
      </c>
      <c r="G12" s="125">
        <f t="shared" si="0"/>
        <v>98.002919708029196</v>
      </c>
      <c r="H12" s="117">
        <v>29</v>
      </c>
      <c r="I12" s="129">
        <v>204148</v>
      </c>
      <c r="J12" s="129">
        <v>198607</v>
      </c>
      <c r="K12" s="129">
        <v>41100</v>
      </c>
      <c r="L12" s="133"/>
      <c r="M12" s="165"/>
      <c r="N12" s="165">
        <f t="shared" ref="N12:N29" si="3">C12/H12</f>
        <v>141.72413793103448</v>
      </c>
    </row>
    <row r="13" spans="1:14" x14ac:dyDescent="0.25">
      <c r="A13" s="59" t="s">
        <v>2</v>
      </c>
      <c r="B13" s="114">
        <v>27961</v>
      </c>
      <c r="C13" s="115">
        <f t="shared" si="1"/>
        <v>4786</v>
      </c>
      <c r="D13" s="115">
        <f>B15-B13</f>
        <v>4786</v>
      </c>
      <c r="E13" s="138">
        <v>469042</v>
      </c>
      <c r="F13" s="125">
        <f>E13/C13</f>
        <v>98.002925198495618</v>
      </c>
      <c r="G13" s="125">
        <f t="shared" si="0"/>
        <v>98.002925198495618</v>
      </c>
      <c r="H13" s="117">
        <v>33</v>
      </c>
      <c r="I13" s="129">
        <v>237768.48</v>
      </c>
      <c r="J13" s="129">
        <v>231273.878</v>
      </c>
      <c r="K13" s="129">
        <v>41100</v>
      </c>
      <c r="L13" s="133"/>
      <c r="M13" s="165"/>
      <c r="N13" s="165">
        <f t="shared" si="3"/>
        <v>145.03030303030303</v>
      </c>
    </row>
    <row r="14" spans="1:14" s="2" customFormat="1" ht="15.75" x14ac:dyDescent="0.25">
      <c r="A14" s="110" t="s">
        <v>3</v>
      </c>
      <c r="B14" s="118"/>
      <c r="C14" s="119">
        <f>SUMIF(C11:C13,"&gt;0")</f>
        <v>12951</v>
      </c>
      <c r="D14" s="119"/>
      <c r="E14" s="139">
        <f>E13+E12+E11</f>
        <v>1269236</v>
      </c>
      <c r="F14" s="126">
        <f t="shared" si="2"/>
        <v>98.002934136360125</v>
      </c>
      <c r="G14" s="126">
        <f t="shared" si="0"/>
        <v>98.002934136360125</v>
      </c>
      <c r="H14" s="120">
        <f>SUM(H11:H13)</f>
        <v>89</v>
      </c>
      <c r="I14" s="130">
        <f t="shared" ref="I14:K14" si="4">I13+I12+I11</f>
        <v>643368.88</v>
      </c>
      <c r="J14" s="130">
        <f t="shared" si="4"/>
        <v>625830.64800000004</v>
      </c>
      <c r="K14" s="130">
        <f t="shared" si="4"/>
        <v>123300</v>
      </c>
      <c r="L14" s="134">
        <f>L13+L12+L11</f>
        <v>0</v>
      </c>
      <c r="M14" s="166"/>
      <c r="N14" s="166">
        <f>C14/H14</f>
        <v>145.51685393258427</v>
      </c>
    </row>
    <row r="15" spans="1:14" x14ac:dyDescent="0.25">
      <c r="A15" s="59" t="s">
        <v>4</v>
      </c>
      <c r="B15" s="114">
        <v>32747</v>
      </c>
      <c r="C15" s="115">
        <f t="shared" ref="C15:C16" si="5">SUMIF(D15,"&gt;0")</f>
        <v>4222</v>
      </c>
      <c r="D15" s="115">
        <f>B16-B15</f>
        <v>4222</v>
      </c>
      <c r="E15" s="138">
        <v>413768</v>
      </c>
      <c r="F15" s="125">
        <f t="shared" si="2"/>
        <v>98.002842254855523</v>
      </c>
      <c r="G15" s="125">
        <f t="shared" si="0"/>
        <v>98.002842254855523</v>
      </c>
      <c r="H15" s="117">
        <v>28</v>
      </c>
      <c r="I15" s="129">
        <v>209748.96</v>
      </c>
      <c r="J15" s="129">
        <v>204019.70600000001</v>
      </c>
      <c r="K15" s="129">
        <v>41100</v>
      </c>
      <c r="L15" s="133"/>
      <c r="M15" s="165"/>
      <c r="N15" s="165">
        <f t="shared" si="3"/>
        <v>150.78571428571428</v>
      </c>
    </row>
    <row r="16" spans="1:14" x14ac:dyDescent="0.25">
      <c r="A16" s="59" t="s">
        <v>21</v>
      </c>
      <c r="B16" s="114">
        <v>36969</v>
      </c>
      <c r="C16" s="115">
        <f t="shared" si="5"/>
        <v>4467</v>
      </c>
      <c r="D16" s="115">
        <f>B17-B16</f>
        <v>4467</v>
      </c>
      <c r="E16" s="138">
        <v>437779</v>
      </c>
      <c r="F16" s="125">
        <f t="shared" si="2"/>
        <v>98.002910230579801</v>
      </c>
      <c r="G16" s="125">
        <f t="shared" si="0"/>
        <v>98.002910230579801</v>
      </c>
      <c r="H16" s="117">
        <v>29</v>
      </c>
      <c r="I16" s="129">
        <v>221920.56</v>
      </c>
      <c r="J16" s="129">
        <f>E16-I16</f>
        <v>215858.44</v>
      </c>
      <c r="K16" s="129">
        <v>41100</v>
      </c>
      <c r="L16" s="133"/>
      <c r="M16" s="165"/>
      <c r="N16" s="165">
        <f t="shared" si="3"/>
        <v>154.0344827586207</v>
      </c>
    </row>
    <row r="17" spans="1:16" x14ac:dyDescent="0.25">
      <c r="A17" s="59" t="s">
        <v>5</v>
      </c>
      <c r="B17" s="114">
        <v>41436</v>
      </c>
      <c r="C17" s="115">
        <f>SUMIF(D17,"&gt;0")</f>
        <v>5208</v>
      </c>
      <c r="D17" s="115">
        <f>B20-B17</f>
        <v>5208</v>
      </c>
      <c r="E17" s="138">
        <v>510399</v>
      </c>
      <c r="F17" s="125">
        <f t="shared" si="2"/>
        <v>98.002880184331801</v>
      </c>
      <c r="G17" s="125">
        <f t="shared" si="0"/>
        <v>98.002880184331801</v>
      </c>
      <c r="H17" s="117">
        <v>33</v>
      </c>
      <c r="I17" s="129">
        <v>258733.44</v>
      </c>
      <c r="J17" s="129">
        <f>E17-I17</f>
        <v>251665.56</v>
      </c>
      <c r="K17" s="129">
        <v>41100</v>
      </c>
      <c r="L17" s="133">
        <v>7179</v>
      </c>
      <c r="M17" s="165"/>
      <c r="N17" s="165">
        <f>C17/H17</f>
        <v>157.81818181818181</v>
      </c>
    </row>
    <row r="18" spans="1:16" s="2" customFormat="1" ht="15.75" x14ac:dyDescent="0.25">
      <c r="A18" s="110" t="s">
        <v>7</v>
      </c>
      <c r="B18" s="118"/>
      <c r="C18" s="119">
        <f>SUMIF(C15:C17,"&gt;0")</f>
        <v>13897</v>
      </c>
      <c r="D18" s="119"/>
      <c r="E18" s="139">
        <f>E17+E16+E15</f>
        <v>1361946</v>
      </c>
      <c r="F18" s="126">
        <f t="shared" si="2"/>
        <v>98.002878319061665</v>
      </c>
      <c r="G18" s="126">
        <f t="shared" si="0"/>
        <v>98.002878319061665</v>
      </c>
      <c r="H18" s="120">
        <f>SUM(H15:H17)</f>
        <v>90</v>
      </c>
      <c r="I18" s="130">
        <f t="shared" ref="I18:L18" si="6">I17+I16+I15</f>
        <v>690402.96</v>
      </c>
      <c r="J18" s="130">
        <f t="shared" si="6"/>
        <v>671543.70600000001</v>
      </c>
      <c r="K18" s="130">
        <f t="shared" si="6"/>
        <v>123300</v>
      </c>
      <c r="L18" s="134">
        <f t="shared" si="6"/>
        <v>7179</v>
      </c>
      <c r="N18" s="166">
        <f t="shared" ref="N18:N19" si="7">C18/H18</f>
        <v>154.4111111111111</v>
      </c>
    </row>
    <row r="19" spans="1:16" s="3" customFormat="1" ht="18.75" x14ac:dyDescent="0.3">
      <c r="A19" s="109" t="s">
        <v>24</v>
      </c>
      <c r="B19" s="113"/>
      <c r="C19" s="121">
        <f>C18+C14</f>
        <v>26848</v>
      </c>
      <c r="D19" s="121"/>
      <c r="E19" s="140">
        <f>E18+E14</f>
        <v>2631182</v>
      </c>
      <c r="F19" s="127">
        <f t="shared" si="2"/>
        <v>98.002905244338493</v>
      </c>
      <c r="G19" s="127">
        <f t="shared" si="0"/>
        <v>98.002905244338493</v>
      </c>
      <c r="H19" s="122">
        <f>H14+H18</f>
        <v>179</v>
      </c>
      <c r="I19" s="131">
        <f t="shared" ref="I19:L19" si="8">I18+I14</f>
        <v>1333771.8399999999</v>
      </c>
      <c r="J19" s="131">
        <f t="shared" si="8"/>
        <v>1297374.3540000001</v>
      </c>
      <c r="K19" s="131">
        <f t="shared" si="8"/>
        <v>246600</v>
      </c>
      <c r="L19" s="135">
        <f t="shared" si="8"/>
        <v>7179</v>
      </c>
      <c r="N19" s="177">
        <f t="shared" si="7"/>
        <v>149.98882681564245</v>
      </c>
    </row>
    <row r="20" spans="1:16" x14ac:dyDescent="0.25">
      <c r="A20" s="59" t="s">
        <v>6</v>
      </c>
      <c r="B20" s="114">
        <v>46644</v>
      </c>
      <c r="C20" s="115">
        <f>SUMIF(D20,"&gt;0")</f>
        <v>4525</v>
      </c>
      <c r="D20" s="115">
        <f>B21-B20</f>
        <v>4525</v>
      </c>
      <c r="E20" s="138">
        <v>443463</v>
      </c>
      <c r="F20" s="125">
        <f t="shared" si="2"/>
        <v>98.002872928176799</v>
      </c>
      <c r="G20" s="125">
        <f t="shared" si="0"/>
        <v>98.002872928176799</v>
      </c>
      <c r="H20" s="117">
        <v>28</v>
      </c>
      <c r="I20" s="129">
        <v>224802</v>
      </c>
      <c r="J20" s="129">
        <f t="shared" ref="J20:J22" si="9">E20-I20</f>
        <v>218661</v>
      </c>
      <c r="K20" s="129">
        <v>42760</v>
      </c>
      <c r="L20" s="133"/>
      <c r="M20" s="165"/>
      <c r="N20" s="165">
        <f t="shared" si="3"/>
        <v>161.60714285714286</v>
      </c>
    </row>
    <row r="21" spans="1:16" x14ac:dyDescent="0.25">
      <c r="A21" s="59" t="s">
        <v>8</v>
      </c>
      <c r="B21" s="114">
        <v>51169</v>
      </c>
      <c r="C21" s="115">
        <f t="shared" ref="C21:C22" si="10">SUMIF(D21,"&gt;0")</f>
        <v>5260</v>
      </c>
      <c r="D21" s="115">
        <f>B22-B21</f>
        <v>5260</v>
      </c>
      <c r="E21" s="138">
        <v>515495</v>
      </c>
      <c r="F21" s="125">
        <f t="shared" si="2"/>
        <v>98.002851711026622</v>
      </c>
      <c r="G21" s="125">
        <f t="shared" si="0"/>
        <v>98.002851711026622</v>
      </c>
      <c r="H21" s="117">
        <v>31</v>
      </c>
      <c r="I21" s="129">
        <v>261317</v>
      </c>
      <c r="J21" s="129">
        <f t="shared" si="9"/>
        <v>254178</v>
      </c>
      <c r="K21" s="129">
        <v>42760</v>
      </c>
      <c r="L21" s="133"/>
      <c r="M21" s="165"/>
      <c r="N21" s="165">
        <f t="shared" si="3"/>
        <v>169.67741935483872</v>
      </c>
    </row>
    <row r="22" spans="1:16" x14ac:dyDescent="0.25">
      <c r="A22" s="59" t="s">
        <v>9</v>
      </c>
      <c r="B22" s="114">
        <v>56429</v>
      </c>
      <c r="C22" s="115">
        <f t="shared" si="10"/>
        <v>5567</v>
      </c>
      <c r="D22" s="115">
        <f>B24-B22</f>
        <v>5567</v>
      </c>
      <c r="E22" s="138">
        <v>545582</v>
      </c>
      <c r="F22" s="125">
        <f t="shared" si="2"/>
        <v>98.002874079396449</v>
      </c>
      <c r="G22" s="125">
        <f t="shared" si="0"/>
        <v>98.002874079396449</v>
      </c>
      <c r="H22" s="179">
        <v>32</v>
      </c>
      <c r="I22" s="129">
        <v>276569</v>
      </c>
      <c r="J22" s="129">
        <f t="shared" si="9"/>
        <v>269013</v>
      </c>
      <c r="K22" s="129">
        <v>42760</v>
      </c>
      <c r="L22" s="133"/>
      <c r="M22" s="165"/>
      <c r="N22" s="165">
        <f t="shared" si="3"/>
        <v>173.96875</v>
      </c>
      <c r="P22" s="165"/>
    </row>
    <row r="23" spans="1:16" s="2" customFormat="1" ht="15.75" x14ac:dyDescent="0.25">
      <c r="A23" s="110" t="s">
        <v>10</v>
      </c>
      <c r="B23" s="118"/>
      <c r="C23" s="119">
        <f>SUMIF(C20:C22,"&gt;0")</f>
        <v>15352</v>
      </c>
      <c r="D23" s="119"/>
      <c r="E23" s="139">
        <f>E22+E21+E20</f>
        <v>1504540</v>
      </c>
      <c r="F23" s="126">
        <f t="shared" si="2"/>
        <v>98.00286607608129</v>
      </c>
      <c r="G23" s="126">
        <f t="shared" si="0"/>
        <v>98.00286607608129</v>
      </c>
      <c r="H23" s="117">
        <f>SUM(H20:H22)</f>
        <v>91</v>
      </c>
      <c r="I23" s="130">
        <f t="shared" ref="I23:L23" si="11">I22+I21+I20</f>
        <v>762688</v>
      </c>
      <c r="J23" s="130">
        <f t="shared" si="11"/>
        <v>741852</v>
      </c>
      <c r="K23" s="130">
        <f t="shared" si="11"/>
        <v>128280</v>
      </c>
      <c r="L23" s="134">
        <f t="shared" si="11"/>
        <v>0</v>
      </c>
      <c r="M23" s="166"/>
      <c r="N23" s="166">
        <f t="shared" si="3"/>
        <v>168.7032967032967</v>
      </c>
    </row>
    <row r="24" spans="1:16" x14ac:dyDescent="0.25">
      <c r="A24" s="59" t="s">
        <v>11</v>
      </c>
      <c r="B24" s="114">
        <v>61996</v>
      </c>
      <c r="C24" s="115">
        <f t="shared" ref="C24:C25" si="12">SUMIF(D24,"&gt;0")</f>
        <v>5322</v>
      </c>
      <c r="D24" s="115">
        <f>B25-B24</f>
        <v>5322</v>
      </c>
      <c r="E24" s="138">
        <v>521571</v>
      </c>
      <c r="F24" s="125">
        <f>E24/C24</f>
        <v>98.002818489289737</v>
      </c>
      <c r="G24" s="125">
        <f t="shared" si="0"/>
        <v>98.002818489289737</v>
      </c>
      <c r="H24" s="117">
        <v>31</v>
      </c>
      <c r="I24" s="129">
        <v>264396.96000000002</v>
      </c>
      <c r="J24" s="129">
        <f t="shared" ref="J24:J26" si="13">E24-I24</f>
        <v>257174.03999999998</v>
      </c>
      <c r="K24" s="129">
        <v>42760</v>
      </c>
      <c r="L24" s="133"/>
      <c r="M24" s="165"/>
      <c r="N24" s="165">
        <f t="shared" si="3"/>
        <v>171.67741935483872</v>
      </c>
    </row>
    <row r="25" spans="1:16" x14ac:dyDescent="0.25">
      <c r="A25" s="59" t="s">
        <v>43</v>
      </c>
      <c r="B25" s="114">
        <v>67318</v>
      </c>
      <c r="C25" s="115">
        <f t="shared" si="12"/>
        <v>4629</v>
      </c>
      <c r="D25" s="115">
        <f>B26-B25</f>
        <v>4629</v>
      </c>
      <c r="E25" s="138">
        <v>453655</v>
      </c>
      <c r="F25" s="125">
        <f t="shared" si="2"/>
        <v>98.002808381939943</v>
      </c>
      <c r="G25" s="125">
        <f t="shared" si="0"/>
        <v>98.002808381939943</v>
      </c>
      <c r="H25" s="117">
        <v>29</v>
      </c>
      <c r="I25" s="129">
        <v>229968.72</v>
      </c>
      <c r="J25" s="129">
        <f t="shared" si="13"/>
        <v>223686.28</v>
      </c>
      <c r="K25" s="129">
        <v>42760</v>
      </c>
      <c r="L25" s="133"/>
      <c r="M25" s="165"/>
      <c r="N25" s="165">
        <f t="shared" si="3"/>
        <v>159.62068965517241</v>
      </c>
    </row>
    <row r="26" spans="1:16" x14ac:dyDescent="0.25">
      <c r="A26" s="59" t="s">
        <v>13</v>
      </c>
      <c r="B26" s="114">
        <v>71947</v>
      </c>
      <c r="C26" s="115">
        <f>SUMIF(D26,"&gt;0")</f>
        <v>5152</v>
      </c>
      <c r="D26" s="115">
        <v>5152</v>
      </c>
      <c r="E26" s="138">
        <v>504911</v>
      </c>
      <c r="F26" s="125">
        <f t="shared" si="2"/>
        <v>98.002911490683232</v>
      </c>
      <c r="G26" s="125">
        <f t="shared" si="0"/>
        <v>98.002911490683232</v>
      </c>
      <c r="H26" s="117">
        <v>33</v>
      </c>
      <c r="I26" s="129">
        <f>C26*49.68</f>
        <v>255951.35999999999</v>
      </c>
      <c r="J26" s="129">
        <f t="shared" si="13"/>
        <v>248959.64</v>
      </c>
      <c r="K26" s="129">
        <v>42760</v>
      </c>
      <c r="L26" s="133"/>
      <c r="M26" s="165"/>
      <c r="N26" s="165">
        <f t="shared" si="3"/>
        <v>156.12121212121212</v>
      </c>
    </row>
    <row r="27" spans="1:16" s="2" customFormat="1" ht="15.75" x14ac:dyDescent="0.25">
      <c r="A27" s="110" t="s">
        <v>28</v>
      </c>
      <c r="B27" s="118"/>
      <c r="C27" s="119">
        <f>SUMIF(C24:C26,"&gt;0")</f>
        <v>15103</v>
      </c>
      <c r="D27" s="119"/>
      <c r="E27" s="139">
        <f>E26+E25+E24</f>
        <v>1480137</v>
      </c>
      <c r="F27" s="126">
        <f t="shared" si="2"/>
        <v>98.002847116466924</v>
      </c>
      <c r="G27" s="126">
        <f t="shared" si="0"/>
        <v>98.002847116466924</v>
      </c>
      <c r="H27" s="120">
        <f>SUM(H24:H26)</f>
        <v>93</v>
      </c>
      <c r="I27" s="130">
        <f t="shared" ref="I27:L27" si="14">I26+I25+I24</f>
        <v>750317.04</v>
      </c>
      <c r="J27" s="130">
        <f t="shared" si="14"/>
        <v>729819.96</v>
      </c>
      <c r="K27" s="130">
        <f t="shared" si="14"/>
        <v>128280</v>
      </c>
      <c r="L27" s="134">
        <f t="shared" si="14"/>
        <v>0</v>
      </c>
      <c r="N27" s="166">
        <f t="shared" si="3"/>
        <v>162.3978494623656</v>
      </c>
    </row>
    <row r="28" spans="1:16" s="3" customFormat="1" ht="18.75" x14ac:dyDescent="0.3">
      <c r="A28" s="109" t="s">
        <v>23</v>
      </c>
      <c r="B28" s="113"/>
      <c r="C28" s="121">
        <f>C27+C23</f>
        <v>30455</v>
      </c>
      <c r="D28" s="121"/>
      <c r="E28" s="140">
        <f>E27+E23</f>
        <v>2984677</v>
      </c>
      <c r="F28" s="127">
        <f t="shared" si="2"/>
        <v>98.002856673780983</v>
      </c>
      <c r="G28" s="127">
        <f t="shared" si="0"/>
        <v>98.002856673780983</v>
      </c>
      <c r="H28" s="122">
        <f>H23+H27</f>
        <v>184</v>
      </c>
      <c r="I28" s="131">
        <f t="shared" ref="I28:L28" si="15">I27+I23</f>
        <v>1513005.04</v>
      </c>
      <c r="J28" s="131">
        <f t="shared" si="15"/>
        <v>1471671.96</v>
      </c>
      <c r="K28" s="131">
        <f t="shared" si="15"/>
        <v>256560</v>
      </c>
      <c r="L28" s="135">
        <f t="shared" si="15"/>
        <v>0</v>
      </c>
      <c r="N28" s="177">
        <f t="shared" si="3"/>
        <v>165.51630434782609</v>
      </c>
    </row>
    <row r="29" spans="1:16" s="4" customFormat="1" ht="21.75" thickBot="1" x14ac:dyDescent="0.4">
      <c r="A29" s="111" t="s">
        <v>14</v>
      </c>
      <c r="B29" s="112"/>
      <c r="C29" s="123">
        <f>C28+C19</f>
        <v>57303</v>
      </c>
      <c r="D29" s="123"/>
      <c r="E29" s="141">
        <f>E28+E19</f>
        <v>5615859</v>
      </c>
      <c r="F29" s="128">
        <f>E29/C29</f>
        <v>98.00287943039632</v>
      </c>
      <c r="G29" s="128">
        <f t="shared" si="0"/>
        <v>98.00287943039632</v>
      </c>
      <c r="H29" s="124">
        <f>H19+H28</f>
        <v>363</v>
      </c>
      <c r="I29" s="132">
        <f>I28+I19</f>
        <v>2846776.88</v>
      </c>
      <c r="J29" s="132">
        <f t="shared" ref="J29:L29" si="16">J28+J19</f>
        <v>2769046.3140000002</v>
      </c>
      <c r="K29" s="132">
        <f t="shared" si="16"/>
        <v>503160</v>
      </c>
      <c r="L29" s="136">
        <f t="shared" si="16"/>
        <v>7179</v>
      </c>
      <c r="N29" s="178">
        <f t="shared" si="3"/>
        <v>157.85950413223139</v>
      </c>
    </row>
    <row r="30" spans="1:16" x14ac:dyDescent="0.25">
      <c r="H30" s="176"/>
      <c r="I30" s="164"/>
    </row>
  </sheetData>
  <mergeCells count="5">
    <mergeCell ref="A8:L8"/>
    <mergeCell ref="A9:A10"/>
    <mergeCell ref="K9:L9"/>
    <mergeCell ref="A1:L6"/>
    <mergeCell ref="A7:L7"/>
  </mergeCells>
  <pageMargins left="0" right="0" top="0" bottom="0" header="0" footer="0"/>
  <pageSetup paperSize="9" orientation="landscape" r:id="rId1"/>
  <ignoredErrors>
    <ignoredError sqref="F11:F23 F25:F28" evalError="1"/>
    <ignoredError sqref="C23 C14 J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4" workbookViewId="0">
      <selection activeCell="J28" sqref="J28"/>
    </sheetView>
  </sheetViews>
  <sheetFormatPr defaultRowHeight="15" x14ac:dyDescent="0.25"/>
  <cols>
    <col min="1" max="1" width="13.28515625" customWidth="1"/>
    <col min="2" max="4" width="21.85546875" customWidth="1"/>
    <col min="5" max="5" width="22" customWidth="1"/>
    <col min="6" max="6" width="22" hidden="1" customWidth="1"/>
    <col min="7" max="8" width="21.85546875" customWidth="1"/>
  </cols>
  <sheetData>
    <row r="1" spans="1:8" ht="21" customHeight="1" x14ac:dyDescent="0.25">
      <c r="A1" s="299" t="s">
        <v>57</v>
      </c>
      <c r="B1" s="315"/>
      <c r="C1" s="315"/>
      <c r="D1" s="315"/>
      <c r="E1" s="315"/>
      <c r="F1" s="315"/>
      <c r="G1" s="315"/>
      <c r="H1" s="315"/>
    </row>
    <row r="2" spans="1:8" x14ac:dyDescent="0.25">
      <c r="A2" s="315"/>
      <c r="B2" s="315"/>
      <c r="C2" s="315"/>
      <c r="D2" s="315"/>
      <c r="E2" s="315"/>
      <c r="F2" s="315"/>
      <c r="G2" s="315"/>
      <c r="H2" s="315"/>
    </row>
    <row r="3" spans="1:8" x14ac:dyDescent="0.25">
      <c r="A3" s="315"/>
      <c r="B3" s="315"/>
      <c r="C3" s="315"/>
      <c r="D3" s="315"/>
      <c r="E3" s="315"/>
      <c r="F3" s="315"/>
      <c r="G3" s="315"/>
      <c r="H3" s="315"/>
    </row>
    <row r="4" spans="1:8" x14ac:dyDescent="0.25">
      <c r="A4" s="315"/>
      <c r="B4" s="315"/>
      <c r="C4" s="315"/>
      <c r="D4" s="315"/>
      <c r="E4" s="315"/>
      <c r="F4" s="315"/>
      <c r="G4" s="315"/>
      <c r="H4" s="315"/>
    </row>
    <row r="5" spans="1:8" x14ac:dyDescent="0.25">
      <c r="A5" s="315"/>
      <c r="B5" s="315"/>
      <c r="C5" s="315"/>
      <c r="D5" s="315"/>
      <c r="E5" s="315"/>
      <c r="F5" s="315"/>
      <c r="G5" s="315"/>
      <c r="H5" s="315"/>
    </row>
    <row r="6" spans="1:8" ht="14.25" customHeight="1" thickBot="1" x14ac:dyDescent="0.3">
      <c r="A6" s="316"/>
      <c r="B6" s="316"/>
      <c r="C6" s="316"/>
      <c r="D6" s="316"/>
      <c r="E6" s="316"/>
      <c r="F6" s="316"/>
      <c r="G6" s="316"/>
      <c r="H6" s="316"/>
    </row>
    <row r="7" spans="1:8" ht="15.75" thickBot="1" x14ac:dyDescent="0.3">
      <c r="A7" s="51"/>
      <c r="B7" s="52"/>
      <c r="C7" s="52"/>
      <c r="D7" s="52"/>
      <c r="E7" s="52"/>
      <c r="F7" s="52"/>
      <c r="G7" s="52"/>
      <c r="H7" s="104"/>
    </row>
    <row r="8" spans="1:8" s="45" customFormat="1" ht="127.5" customHeight="1" thickBot="1" x14ac:dyDescent="1.4">
      <c r="A8" s="302" t="s">
        <v>62</v>
      </c>
      <c r="B8" s="303"/>
      <c r="C8" s="303"/>
      <c r="D8" s="303"/>
      <c r="E8" s="303"/>
      <c r="F8" s="303"/>
      <c r="G8" s="303"/>
      <c r="H8" s="305"/>
    </row>
    <row r="9" spans="1:8" s="50" customFormat="1" ht="26.25" x14ac:dyDescent="0.4">
      <c r="A9" s="321">
        <v>2016</v>
      </c>
      <c r="B9" s="91" t="s">
        <v>35</v>
      </c>
      <c r="C9" s="92" t="s">
        <v>36</v>
      </c>
      <c r="D9" s="93" t="s">
        <v>58</v>
      </c>
      <c r="E9" s="318" t="s">
        <v>37</v>
      </c>
      <c r="F9" s="319"/>
      <c r="G9" s="320"/>
      <c r="H9" s="94" t="s">
        <v>60</v>
      </c>
    </row>
    <row r="10" spans="1:8" ht="15.75" thickBot="1" x14ac:dyDescent="0.3">
      <c r="A10" s="322"/>
      <c r="B10" s="95" t="s">
        <v>59</v>
      </c>
      <c r="C10" s="96" t="s">
        <v>59</v>
      </c>
      <c r="D10" s="96" t="s">
        <v>59</v>
      </c>
      <c r="E10" s="95" t="s">
        <v>58</v>
      </c>
      <c r="F10" s="156"/>
      <c r="G10" s="97" t="s">
        <v>63</v>
      </c>
      <c r="H10" s="98" t="s">
        <v>61</v>
      </c>
    </row>
    <row r="11" spans="1:8" ht="15" customHeight="1" x14ac:dyDescent="0.25">
      <c r="A11" s="85" t="s">
        <v>0</v>
      </c>
      <c r="B11" s="38">
        <v>30917</v>
      </c>
      <c r="C11" s="64">
        <v>46205</v>
      </c>
      <c r="D11" s="16">
        <f>C11+B11</f>
        <v>77122</v>
      </c>
      <c r="E11" s="74">
        <v>182265.85</v>
      </c>
      <c r="F11" s="157">
        <f>E11/D11</f>
        <v>2.3633444412748634</v>
      </c>
      <c r="G11" s="75">
        <f>SUMIF(F11,"&gt;0")</f>
        <v>2.3633444412748634</v>
      </c>
      <c r="H11" s="80">
        <v>255</v>
      </c>
    </row>
    <row r="12" spans="1:8" ht="15" customHeight="1" x14ac:dyDescent="0.25">
      <c r="A12" s="86" t="s">
        <v>1</v>
      </c>
      <c r="B12" s="39">
        <v>30726</v>
      </c>
      <c r="C12" s="63">
        <v>39067</v>
      </c>
      <c r="D12" s="5">
        <f t="shared" ref="D12:D26" si="0">C12+B12</f>
        <v>69793</v>
      </c>
      <c r="E12" s="39">
        <v>173511.15</v>
      </c>
      <c r="F12" s="158">
        <f>E12/D12</f>
        <v>2.4860824151419196</v>
      </c>
      <c r="G12" s="76">
        <f t="shared" ref="G12:G29" si="1">SUMIF(F12,"&gt;0")</f>
        <v>2.4860824151419196</v>
      </c>
      <c r="H12" s="81">
        <v>235</v>
      </c>
    </row>
    <row r="13" spans="1:8" ht="15.75" thickBot="1" x14ac:dyDescent="0.3">
      <c r="A13" s="87" t="s">
        <v>2</v>
      </c>
      <c r="B13" s="68">
        <v>29966</v>
      </c>
      <c r="C13" s="69">
        <v>43190</v>
      </c>
      <c r="D13" s="70">
        <f t="shared" si="0"/>
        <v>73156</v>
      </c>
      <c r="E13" s="68">
        <v>175524.56</v>
      </c>
      <c r="F13" s="159">
        <f t="shared" ref="F13" si="2">E13/D13</f>
        <v>2.3993187161681884</v>
      </c>
      <c r="G13" s="79">
        <f t="shared" si="1"/>
        <v>2.3993187161681884</v>
      </c>
      <c r="H13" s="82">
        <v>235</v>
      </c>
    </row>
    <row r="14" spans="1:8" s="2" customFormat="1" ht="16.5" thickBot="1" x14ac:dyDescent="0.3">
      <c r="A14" s="88" t="s">
        <v>3</v>
      </c>
      <c r="B14" s="71">
        <f>B13+B12+B11</f>
        <v>91609</v>
      </c>
      <c r="C14" s="72">
        <f>C13+C12+C11</f>
        <v>128462</v>
      </c>
      <c r="D14" s="73">
        <f>D13+D12+D11</f>
        <v>220071</v>
      </c>
      <c r="E14" s="71">
        <f t="shared" ref="E14" si="3">E13+E12+E11</f>
        <v>531301.55999999994</v>
      </c>
      <c r="F14" s="160">
        <f>E14/D14</f>
        <v>2.4142279537058493</v>
      </c>
      <c r="G14" s="77">
        <f t="shared" si="1"/>
        <v>2.4142279537058493</v>
      </c>
      <c r="H14" s="83">
        <f>(H13+H12+H11)/3</f>
        <v>241.66666666666666</v>
      </c>
    </row>
    <row r="15" spans="1:8" x14ac:dyDescent="0.25">
      <c r="A15" s="85" t="s">
        <v>4</v>
      </c>
      <c r="B15" s="38">
        <v>27487</v>
      </c>
      <c r="C15" s="64">
        <v>38278</v>
      </c>
      <c r="D15" s="16">
        <f t="shared" si="0"/>
        <v>65765</v>
      </c>
      <c r="E15" s="38">
        <v>165725.98000000001</v>
      </c>
      <c r="F15" s="157">
        <f t="shared" ref="F15:F17" si="4">E15/D15</f>
        <v>2.5199723257051625</v>
      </c>
      <c r="G15" s="75">
        <f t="shared" si="1"/>
        <v>2.5199723257051625</v>
      </c>
      <c r="H15" s="80">
        <v>220</v>
      </c>
    </row>
    <row r="16" spans="1:8" x14ac:dyDescent="0.25">
      <c r="A16" s="86" t="s">
        <v>21</v>
      </c>
      <c r="B16" s="39">
        <v>27964</v>
      </c>
      <c r="C16" s="63">
        <v>35214</v>
      </c>
      <c r="D16" s="5">
        <f t="shared" si="0"/>
        <v>63178</v>
      </c>
      <c r="E16" s="39">
        <v>159891.97</v>
      </c>
      <c r="F16" s="158">
        <f t="shared" si="4"/>
        <v>2.5308172148532719</v>
      </c>
      <c r="G16" s="76">
        <f t="shared" si="1"/>
        <v>2.5308172148532719</v>
      </c>
      <c r="H16" s="81">
        <v>219</v>
      </c>
    </row>
    <row r="17" spans="1:8" ht="15.75" thickBot="1" x14ac:dyDescent="0.3">
      <c r="A17" s="87" t="s">
        <v>5</v>
      </c>
      <c r="B17" s="68">
        <v>26540</v>
      </c>
      <c r="C17" s="69">
        <v>31426</v>
      </c>
      <c r="D17" s="70">
        <f t="shared" si="0"/>
        <v>57966</v>
      </c>
      <c r="E17" s="68">
        <v>150461.63</v>
      </c>
      <c r="F17" s="159">
        <f t="shared" si="4"/>
        <v>2.5956876444812478</v>
      </c>
      <c r="G17" s="79">
        <f t="shared" si="1"/>
        <v>2.5956876444812478</v>
      </c>
      <c r="H17" s="82">
        <v>203</v>
      </c>
    </row>
    <row r="18" spans="1:8" s="2" customFormat="1" ht="16.5" thickBot="1" x14ac:dyDescent="0.3">
      <c r="A18" s="88" t="s">
        <v>7</v>
      </c>
      <c r="B18" s="71">
        <f>B17+B16+B15</f>
        <v>81991</v>
      </c>
      <c r="C18" s="72">
        <f>C17+C16+C15</f>
        <v>104918</v>
      </c>
      <c r="D18" s="73">
        <f>D17+D16+D15</f>
        <v>186909</v>
      </c>
      <c r="E18" s="71">
        <f>E17+E16+E15</f>
        <v>476079.57999999996</v>
      </c>
      <c r="F18" s="160">
        <f>E18/D18</f>
        <v>2.547119614357789</v>
      </c>
      <c r="G18" s="77">
        <f t="shared" si="1"/>
        <v>2.547119614357789</v>
      </c>
      <c r="H18" s="83">
        <f>(H17+H16+H15)/3</f>
        <v>214</v>
      </c>
    </row>
    <row r="19" spans="1:8" s="3" customFormat="1" ht="19.5" thickBot="1" x14ac:dyDescent="0.35">
      <c r="A19" s="89" t="s">
        <v>24</v>
      </c>
      <c r="B19" s="65">
        <f t="shared" ref="B19:E19" si="5">B18+B14</f>
        <v>173600</v>
      </c>
      <c r="C19" s="66">
        <f t="shared" si="5"/>
        <v>233380</v>
      </c>
      <c r="D19" s="67">
        <f t="shared" si="5"/>
        <v>406980</v>
      </c>
      <c r="E19" s="65">
        <f t="shared" si="5"/>
        <v>1007381.1399999999</v>
      </c>
      <c r="F19" s="161">
        <f>E19/D19</f>
        <v>2.4752595704948646</v>
      </c>
      <c r="G19" s="78">
        <f t="shared" si="1"/>
        <v>2.4752595704948646</v>
      </c>
      <c r="H19" s="84">
        <f>(H18+H14)/2</f>
        <v>227.83333333333331</v>
      </c>
    </row>
    <row r="20" spans="1:8" ht="15" customHeight="1" x14ac:dyDescent="0.25">
      <c r="A20" s="85" t="s">
        <v>6</v>
      </c>
      <c r="B20" s="38">
        <v>22648</v>
      </c>
      <c r="C20" s="64">
        <v>35661</v>
      </c>
      <c r="D20" s="16">
        <f t="shared" si="0"/>
        <v>58309</v>
      </c>
      <c r="E20" s="38">
        <v>151599.85</v>
      </c>
      <c r="F20" s="157">
        <f t="shared" ref="F20:F22" si="6">E20/D20</f>
        <v>2.5999391174604263</v>
      </c>
      <c r="G20" s="75">
        <f t="shared" si="1"/>
        <v>2.5999391174604263</v>
      </c>
      <c r="H20" s="80">
        <v>191</v>
      </c>
    </row>
    <row r="21" spans="1:8" ht="15" customHeight="1" x14ac:dyDescent="0.25">
      <c r="A21" s="86" t="s">
        <v>8</v>
      </c>
      <c r="B21" s="39">
        <v>27383</v>
      </c>
      <c r="C21" s="63">
        <v>33013</v>
      </c>
      <c r="D21" s="5">
        <f t="shared" si="0"/>
        <v>60396</v>
      </c>
      <c r="E21" s="39">
        <v>156777.89000000001</v>
      </c>
      <c r="F21" s="158">
        <f t="shared" si="6"/>
        <v>2.5958323398900593</v>
      </c>
      <c r="G21" s="76">
        <f t="shared" si="1"/>
        <v>2.5958323398900593</v>
      </c>
      <c r="H21" s="81">
        <v>200</v>
      </c>
    </row>
    <row r="22" spans="1:8" ht="15" customHeight="1" thickBot="1" x14ac:dyDescent="0.3">
      <c r="A22" s="87" t="s">
        <v>9</v>
      </c>
      <c r="B22" s="68">
        <v>25442</v>
      </c>
      <c r="C22" s="69">
        <v>34245</v>
      </c>
      <c r="D22" s="70">
        <f t="shared" si="0"/>
        <v>59687</v>
      </c>
      <c r="E22" s="68">
        <v>156124.73000000001</v>
      </c>
      <c r="F22" s="159">
        <f t="shared" si="6"/>
        <v>2.6157241945482266</v>
      </c>
      <c r="G22" s="79">
        <f t="shared" si="1"/>
        <v>2.6157241945482266</v>
      </c>
      <c r="H22" s="82">
        <v>210</v>
      </c>
    </row>
    <row r="23" spans="1:8" s="2" customFormat="1" ht="16.5" thickBot="1" x14ac:dyDescent="0.3">
      <c r="A23" s="88" t="s">
        <v>10</v>
      </c>
      <c r="B23" s="71">
        <f t="shared" ref="B23:E23" si="7">B22+B21+B20</f>
        <v>75473</v>
      </c>
      <c r="C23" s="72">
        <f t="shared" si="7"/>
        <v>102919</v>
      </c>
      <c r="D23" s="73">
        <f>D22+D21+D20</f>
        <v>178392</v>
      </c>
      <c r="E23" s="71">
        <f t="shared" si="7"/>
        <v>464502.47</v>
      </c>
      <c r="F23" s="160">
        <f>E23/D23</f>
        <v>2.6038301605453156</v>
      </c>
      <c r="G23" s="77">
        <f t="shared" si="1"/>
        <v>2.6038301605453156</v>
      </c>
      <c r="H23" s="83">
        <f>(H22+H21+H20)/3</f>
        <v>200.33333333333334</v>
      </c>
    </row>
    <row r="24" spans="1:8" x14ac:dyDescent="0.25">
      <c r="A24" s="85" t="s">
        <v>11</v>
      </c>
      <c r="B24" s="38">
        <v>29262</v>
      </c>
      <c r="C24" s="64">
        <v>43166</v>
      </c>
      <c r="D24" s="16">
        <f t="shared" si="0"/>
        <v>72428</v>
      </c>
      <c r="E24" s="38">
        <v>180257.06</v>
      </c>
      <c r="F24" s="157">
        <f t="shared" ref="F24:F26" si="8">E24/D24</f>
        <v>2.4887758877782074</v>
      </c>
      <c r="G24" s="75">
        <f t="shared" si="1"/>
        <v>2.4887758877782074</v>
      </c>
      <c r="H24" s="80">
        <v>250</v>
      </c>
    </row>
    <row r="25" spans="1:8" x14ac:dyDescent="0.25">
      <c r="A25" s="86" t="s">
        <v>12</v>
      </c>
      <c r="B25" s="39">
        <v>32290</v>
      </c>
      <c r="C25" s="63">
        <v>41421</v>
      </c>
      <c r="D25" s="5">
        <f t="shared" si="0"/>
        <v>73711</v>
      </c>
      <c r="E25" s="39">
        <v>178216.28</v>
      </c>
      <c r="F25" s="157">
        <f t="shared" si="8"/>
        <v>2.4177704820176094</v>
      </c>
      <c r="G25" s="75">
        <f t="shared" si="1"/>
        <v>2.4177704820176094</v>
      </c>
      <c r="H25" s="81">
        <v>252</v>
      </c>
    </row>
    <row r="26" spans="1:8" ht="15.75" thickBot="1" x14ac:dyDescent="0.3">
      <c r="A26" s="87" t="s">
        <v>13</v>
      </c>
      <c r="B26" s="68">
        <v>33159</v>
      </c>
      <c r="C26" s="69">
        <v>45035</v>
      </c>
      <c r="D26" s="70">
        <f t="shared" si="0"/>
        <v>78194</v>
      </c>
      <c r="E26" s="68">
        <v>184330.27</v>
      </c>
      <c r="F26" s="162">
        <f t="shared" si="8"/>
        <v>2.3573454484998848</v>
      </c>
      <c r="G26" s="75">
        <f t="shared" si="1"/>
        <v>2.3573454484998848</v>
      </c>
      <c r="H26" s="82">
        <v>246</v>
      </c>
    </row>
    <row r="27" spans="1:8" s="2" customFormat="1" ht="16.5" thickBot="1" x14ac:dyDescent="0.3">
      <c r="A27" s="88" t="s">
        <v>28</v>
      </c>
      <c r="B27" s="71">
        <f t="shared" ref="B27:E27" si="9">B26+B25+B24</f>
        <v>94711</v>
      </c>
      <c r="C27" s="72">
        <f t="shared" si="9"/>
        <v>129622</v>
      </c>
      <c r="D27" s="73">
        <f>D26+D25+D24</f>
        <v>224333</v>
      </c>
      <c r="E27" s="71">
        <f t="shared" si="9"/>
        <v>542803.61</v>
      </c>
      <c r="F27" s="160">
        <f>E27/D27</f>
        <v>2.41963335755328</v>
      </c>
      <c r="G27" s="77">
        <f t="shared" si="1"/>
        <v>2.41963335755328</v>
      </c>
      <c r="H27" s="83">
        <f>(H26+H25+H24)/3</f>
        <v>249.33333333333334</v>
      </c>
    </row>
    <row r="28" spans="1:8" s="3" customFormat="1" ht="19.5" thickBot="1" x14ac:dyDescent="0.35">
      <c r="A28" s="89" t="s">
        <v>23</v>
      </c>
      <c r="B28" s="65">
        <f t="shared" ref="B28:E28" si="10">B27+B23</f>
        <v>170184</v>
      </c>
      <c r="C28" s="66">
        <f t="shared" si="10"/>
        <v>232541</v>
      </c>
      <c r="D28" s="67">
        <f t="shared" si="10"/>
        <v>402725</v>
      </c>
      <c r="E28" s="65">
        <f t="shared" si="10"/>
        <v>1007306.08</v>
      </c>
      <c r="F28" s="161">
        <f>E28/D28</f>
        <v>2.5012256005959399</v>
      </c>
      <c r="G28" s="78">
        <f t="shared" si="1"/>
        <v>2.5012256005959399</v>
      </c>
      <c r="H28" s="84">
        <f>(H27+H23)/2</f>
        <v>224.83333333333334</v>
      </c>
    </row>
    <row r="29" spans="1:8" s="4" customFormat="1" ht="21.75" thickBot="1" x14ac:dyDescent="0.4">
      <c r="A29" s="90" t="s">
        <v>14</v>
      </c>
      <c r="B29" s="99">
        <f>B28+B19</f>
        <v>343784</v>
      </c>
      <c r="C29" s="100">
        <f>C28+C19</f>
        <v>465921</v>
      </c>
      <c r="D29" s="101">
        <f>D28+D19</f>
        <v>809705</v>
      </c>
      <c r="E29" s="99">
        <f>E28+E19</f>
        <v>2014687.2199999997</v>
      </c>
      <c r="F29" s="163">
        <f>E29/D29</f>
        <v>2.488174359797704</v>
      </c>
      <c r="G29" s="102">
        <f t="shared" si="1"/>
        <v>2.488174359797704</v>
      </c>
      <c r="H29" s="103">
        <f>(H28+H19)/2</f>
        <v>226.33333333333331</v>
      </c>
    </row>
  </sheetData>
  <mergeCells count="4">
    <mergeCell ref="E9:G9"/>
    <mergeCell ref="A1:H6"/>
    <mergeCell ref="A8:H8"/>
    <mergeCell ref="A9:A10"/>
  </mergeCells>
  <pageMargins left="0" right="0" top="0" bottom="0" header="0" footer="0"/>
  <pageSetup paperSize="9" orientation="landscape" r:id="rId1"/>
  <ignoredErrors>
    <ignoredError sqref="D23 D14" formula="1"/>
    <ignoredError sqref="F1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7" workbookViewId="0">
      <selection activeCell="H13" sqref="H13"/>
    </sheetView>
  </sheetViews>
  <sheetFormatPr defaultRowHeight="15" x14ac:dyDescent="0.25"/>
  <cols>
    <col min="1" max="1" width="11.42578125" customWidth="1"/>
    <col min="2" max="2" width="15.7109375" customWidth="1"/>
    <col min="3" max="3" width="15.140625" customWidth="1"/>
    <col min="4" max="4" width="13.5703125" customWidth="1"/>
    <col min="5" max="5" width="15.140625" customWidth="1"/>
    <col min="6" max="6" width="13.5703125" customWidth="1"/>
    <col min="7" max="7" width="15.140625" customWidth="1"/>
    <col min="8" max="8" width="13.5703125" customWidth="1"/>
    <col min="9" max="9" width="15.140625" customWidth="1"/>
    <col min="10" max="10" width="15.140625" hidden="1" customWidth="1"/>
    <col min="11" max="11" width="16.140625" customWidth="1"/>
  </cols>
  <sheetData>
    <row r="1" spans="1:14" ht="21" customHeight="1" x14ac:dyDescent="0.25">
      <c r="A1" s="299" t="s">
        <v>57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14" x14ac:dyDescent="0.25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4" x14ac:dyDescent="0.25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4" x14ac:dyDescent="0.25">
      <c r="A4" s="315"/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14" x14ac:dyDescent="0.25">
      <c r="A5" s="315"/>
      <c r="B5" s="315"/>
      <c r="C5" s="315"/>
      <c r="D5" s="315"/>
      <c r="E5" s="315"/>
      <c r="F5" s="315"/>
      <c r="G5" s="315"/>
      <c r="H5" s="315"/>
      <c r="I5" s="315"/>
      <c r="J5" s="315"/>
      <c r="K5" s="315"/>
    </row>
    <row r="6" spans="1:14" ht="14.25" customHeight="1" thickBot="1" x14ac:dyDescent="0.3">
      <c r="A6" s="316"/>
      <c r="B6" s="316"/>
      <c r="C6" s="316"/>
      <c r="D6" s="316"/>
      <c r="E6" s="316"/>
      <c r="F6" s="316"/>
      <c r="G6" s="316"/>
      <c r="H6" s="316"/>
      <c r="I6" s="316"/>
      <c r="J6" s="316"/>
      <c r="K6" s="316"/>
    </row>
    <row r="7" spans="1:14" ht="15.75" thickBot="1" x14ac:dyDescent="0.3">
      <c r="A7" s="60"/>
      <c r="B7" s="61"/>
      <c r="C7" s="61"/>
      <c r="D7" s="61"/>
      <c r="E7" s="61"/>
      <c r="F7" s="61"/>
      <c r="G7" s="61"/>
      <c r="H7" s="61"/>
      <c r="I7" s="61"/>
      <c r="J7" s="61"/>
      <c r="K7" s="62"/>
    </row>
    <row r="8" spans="1:14" s="45" customFormat="1" ht="93" thickBot="1" x14ac:dyDescent="1.4">
      <c r="A8" s="323" t="s">
        <v>29</v>
      </c>
      <c r="B8" s="324"/>
      <c r="C8" s="324"/>
      <c r="D8" s="324"/>
      <c r="E8" s="324"/>
      <c r="F8" s="324"/>
      <c r="G8" s="324"/>
      <c r="H8" s="324"/>
      <c r="I8" s="324"/>
      <c r="J8" s="324"/>
      <c r="K8" s="325"/>
    </row>
    <row r="9" spans="1:14" s="50" customFormat="1" ht="26.25" x14ac:dyDescent="0.4">
      <c r="A9" s="336">
        <v>2016</v>
      </c>
      <c r="B9" s="334" t="s">
        <v>15</v>
      </c>
      <c r="C9" s="335"/>
      <c r="D9" s="326" t="s">
        <v>16</v>
      </c>
      <c r="E9" s="327"/>
      <c r="F9" s="326" t="s">
        <v>25</v>
      </c>
      <c r="G9" s="327"/>
      <c r="H9" s="326" t="s">
        <v>22</v>
      </c>
      <c r="I9" s="327"/>
      <c r="J9" s="169"/>
      <c r="K9" s="49" t="s">
        <v>19</v>
      </c>
    </row>
    <row r="10" spans="1:14" ht="18" thickBot="1" x14ac:dyDescent="0.3">
      <c r="A10" s="337"/>
      <c r="B10" s="17" t="s">
        <v>68</v>
      </c>
      <c r="C10" s="25" t="s">
        <v>17</v>
      </c>
      <c r="D10" s="1" t="s">
        <v>18</v>
      </c>
      <c r="E10" s="18" t="s">
        <v>17</v>
      </c>
      <c r="F10" s="1" t="s">
        <v>18</v>
      </c>
      <c r="G10" s="18" t="s">
        <v>17</v>
      </c>
      <c r="H10" s="1" t="s">
        <v>26</v>
      </c>
      <c r="I10" s="18" t="s">
        <v>27</v>
      </c>
      <c r="J10" s="170"/>
      <c r="K10" s="32" t="s">
        <v>20</v>
      </c>
    </row>
    <row r="11" spans="1:14" ht="15" customHeight="1" x14ac:dyDescent="0.25">
      <c r="A11" s="14" t="s">
        <v>0</v>
      </c>
      <c r="B11" s="15">
        <f>'Elektrická enerie'!D11</f>
        <v>77122</v>
      </c>
      <c r="C11" s="26">
        <f>'Elektrická enerie'!E11</f>
        <v>182265.85</v>
      </c>
      <c r="D11" s="38">
        <f>Plyn!B11</f>
        <v>54849</v>
      </c>
      <c r="E11" s="16">
        <f>Plyn!D11</f>
        <v>464698.72</v>
      </c>
      <c r="F11" s="38">
        <v>6008</v>
      </c>
      <c r="G11" s="16">
        <v>584938</v>
      </c>
      <c r="H11" s="38">
        <f>Voda!K11</f>
        <v>41100</v>
      </c>
      <c r="I11" s="328" t="s">
        <v>32</v>
      </c>
      <c r="J11" s="167"/>
      <c r="K11" s="55">
        <f t="shared" ref="K11:K18" si="0">G11+E11+C11+H11</f>
        <v>1273002.57</v>
      </c>
    </row>
    <row r="12" spans="1:14" ht="15" customHeight="1" x14ac:dyDescent="0.25">
      <c r="A12" s="11" t="s">
        <v>1</v>
      </c>
      <c r="B12" s="8">
        <f>'Elektrická enerie'!D12</f>
        <v>69793</v>
      </c>
      <c r="C12" s="27">
        <f>'Elektrická enerie'!E12</f>
        <v>173511.15</v>
      </c>
      <c r="D12" s="39">
        <f>Plyn!B12</f>
        <v>44833</v>
      </c>
      <c r="E12" s="5">
        <f>Plyn!D12</f>
        <v>390221.66</v>
      </c>
      <c r="F12" s="39">
        <f>Voda!C12</f>
        <v>4110</v>
      </c>
      <c r="G12" s="5">
        <f>Voda!E12</f>
        <v>402792</v>
      </c>
      <c r="H12" s="39">
        <f>Voda!K12</f>
        <v>41100</v>
      </c>
      <c r="I12" s="328"/>
      <c r="J12" s="167"/>
      <c r="K12" s="34">
        <f t="shared" si="0"/>
        <v>1007624.8099999999</v>
      </c>
    </row>
    <row r="13" spans="1:14" x14ac:dyDescent="0.25">
      <c r="A13" s="11" t="s">
        <v>2</v>
      </c>
      <c r="B13" s="8">
        <f>'Elektrická enerie'!D13</f>
        <v>73156</v>
      </c>
      <c r="C13" s="27">
        <f>'Elektrická enerie'!E13</f>
        <v>175524.56</v>
      </c>
      <c r="D13" s="39">
        <f>Plyn!B13</f>
        <v>44557</v>
      </c>
      <c r="E13" s="5">
        <f>Plyn!D13</f>
        <v>388964.29</v>
      </c>
      <c r="F13" s="39">
        <f>SUMIF(Voda!C13,"&gt;0")</f>
        <v>4786</v>
      </c>
      <c r="G13" s="5">
        <f>Voda!E13</f>
        <v>469042</v>
      </c>
      <c r="H13" s="39">
        <v>41100</v>
      </c>
      <c r="I13" s="328"/>
      <c r="J13" s="167"/>
      <c r="K13" s="34">
        <f t="shared" si="0"/>
        <v>1074630.8500000001</v>
      </c>
    </row>
    <row r="14" spans="1:14" s="2" customFormat="1" ht="15.75" x14ac:dyDescent="0.25">
      <c r="A14" s="12" t="s">
        <v>3</v>
      </c>
      <c r="B14" s="9">
        <f t="shared" ref="B14:H14" si="1">B13+B12+B11</f>
        <v>220071</v>
      </c>
      <c r="C14" s="28">
        <f>C13+C12+C11</f>
        <v>531301.55999999994</v>
      </c>
      <c r="D14" s="40">
        <f t="shared" si="1"/>
        <v>144239</v>
      </c>
      <c r="E14" s="6">
        <f t="shared" si="1"/>
        <v>1243884.67</v>
      </c>
      <c r="F14" s="40">
        <f t="shared" si="1"/>
        <v>14904</v>
      </c>
      <c r="G14" s="6">
        <f t="shared" si="1"/>
        <v>1456772</v>
      </c>
      <c r="H14" s="40">
        <f t="shared" si="1"/>
        <v>123300</v>
      </c>
      <c r="I14" s="328"/>
      <c r="J14" s="167"/>
      <c r="K14" s="35">
        <f t="shared" si="0"/>
        <v>3355258.23</v>
      </c>
    </row>
    <row r="15" spans="1:14" x14ac:dyDescent="0.25">
      <c r="A15" s="11" t="s">
        <v>4</v>
      </c>
      <c r="B15" s="8">
        <f>'Elektrická enerie'!D15</f>
        <v>65765</v>
      </c>
      <c r="C15" s="27">
        <f>'Elektrická enerie'!E15</f>
        <v>165725.98000000001</v>
      </c>
      <c r="D15" s="39">
        <f>Plyn!B15</f>
        <v>32736</v>
      </c>
      <c r="E15" s="5">
        <f>Plyn!D15</f>
        <v>300654.90000000002</v>
      </c>
      <c r="F15" s="39">
        <f>SUMIF(Voda!C15,"&gt;0")</f>
        <v>4222</v>
      </c>
      <c r="G15" s="5">
        <f>Voda!E15</f>
        <v>413768</v>
      </c>
      <c r="H15" s="39">
        <v>41100</v>
      </c>
      <c r="I15" s="328"/>
      <c r="J15" s="167"/>
      <c r="K15" s="34">
        <f t="shared" si="0"/>
        <v>921248.88</v>
      </c>
    </row>
    <row r="16" spans="1:14" x14ac:dyDescent="0.25">
      <c r="A16" s="11" t="s">
        <v>21</v>
      </c>
      <c r="B16" s="8">
        <f>'Elektrická enerie'!D16</f>
        <v>63178</v>
      </c>
      <c r="C16" s="27">
        <f>'Elektrická enerie'!E16</f>
        <v>159891.97</v>
      </c>
      <c r="D16" s="39">
        <f>Plyn!B16</f>
        <v>15739</v>
      </c>
      <c r="E16" s="5">
        <f>Plyn!D16</f>
        <v>172758.83</v>
      </c>
      <c r="F16" s="39">
        <f>SUMIF(Voda!C16,"&gt;0")</f>
        <v>4467</v>
      </c>
      <c r="G16" s="5">
        <f>Voda!E16</f>
        <v>437779</v>
      </c>
      <c r="H16" s="39">
        <v>41100</v>
      </c>
      <c r="I16" s="328"/>
      <c r="J16" s="167"/>
      <c r="K16" s="34">
        <f t="shared" si="0"/>
        <v>811529.79999999993</v>
      </c>
      <c r="N16" s="153"/>
    </row>
    <row r="17" spans="1:11" x14ac:dyDescent="0.25">
      <c r="A17" s="11" t="s">
        <v>5</v>
      </c>
      <c r="B17" s="8">
        <f>'Elektrická enerie'!D17</f>
        <v>57966</v>
      </c>
      <c r="C17" s="27">
        <f>'Elektrická enerie'!E17</f>
        <v>150461.63</v>
      </c>
      <c r="D17" s="39">
        <f>Plyn!B17</f>
        <v>9243</v>
      </c>
      <c r="E17" s="5">
        <f>Plyn!D17</f>
        <v>123913.51</v>
      </c>
      <c r="F17" s="39">
        <f>SUMIF(Voda!C17,"&gt;0")</f>
        <v>5208</v>
      </c>
      <c r="G17" s="5">
        <f>Voda!E17</f>
        <v>510399</v>
      </c>
      <c r="H17" s="39">
        <f>Voda!K17</f>
        <v>41100</v>
      </c>
      <c r="I17" s="331">
        <v>4468</v>
      </c>
      <c r="J17" s="168"/>
      <c r="K17" s="34">
        <f t="shared" si="0"/>
        <v>825874.14</v>
      </c>
    </row>
    <row r="18" spans="1:11" s="2" customFormat="1" ht="15.75" x14ac:dyDescent="0.25">
      <c r="A18" s="12" t="s">
        <v>7</v>
      </c>
      <c r="B18" s="9">
        <f>B17+B16+B15</f>
        <v>186909</v>
      </c>
      <c r="C18" s="28">
        <f>C17+C16+C15</f>
        <v>476079.57999999996</v>
      </c>
      <c r="D18" s="40">
        <f t="shared" ref="D18" si="2">D17+D16+D15</f>
        <v>57718</v>
      </c>
      <c r="E18" s="6">
        <f>E17+E16+E15</f>
        <v>597327.24</v>
      </c>
      <c r="F18" s="40">
        <f>F17+F16+F15</f>
        <v>13897</v>
      </c>
      <c r="G18" s="6">
        <f>G17+G16+G15</f>
        <v>1361946</v>
      </c>
      <c r="H18" s="40">
        <f>H17+H16+H15</f>
        <v>123300</v>
      </c>
      <c r="I18" s="331"/>
      <c r="J18" s="168"/>
      <c r="K18" s="56">
        <f t="shared" si="0"/>
        <v>2558652.8199999998</v>
      </c>
    </row>
    <row r="19" spans="1:11" s="3" customFormat="1" ht="18.75" x14ac:dyDescent="0.3">
      <c r="A19" s="13" t="s">
        <v>24</v>
      </c>
      <c r="B19" s="10">
        <f t="shared" ref="B19:H19" si="3">B18+B14</f>
        <v>406980</v>
      </c>
      <c r="C19" s="29">
        <f t="shared" si="3"/>
        <v>1007381.1399999999</v>
      </c>
      <c r="D19" s="41">
        <f t="shared" si="3"/>
        <v>201957</v>
      </c>
      <c r="E19" s="7">
        <f t="shared" si="3"/>
        <v>1841211.91</v>
      </c>
      <c r="F19" s="41">
        <f t="shared" si="3"/>
        <v>28801</v>
      </c>
      <c r="G19" s="7">
        <f t="shared" si="3"/>
        <v>2818718</v>
      </c>
      <c r="H19" s="10">
        <f t="shared" si="3"/>
        <v>246600</v>
      </c>
      <c r="I19" s="29">
        <v>7179</v>
      </c>
      <c r="J19" s="173">
        <f>(H19+I19)/I17</f>
        <v>56.799239033124444</v>
      </c>
      <c r="K19" s="36">
        <f>G19+E19+C19+H19+I19</f>
        <v>5921090.0499999998</v>
      </c>
    </row>
    <row r="20" spans="1:11" ht="15" customHeight="1" x14ac:dyDescent="0.25">
      <c r="A20" s="11" t="s">
        <v>6</v>
      </c>
      <c r="B20" s="8">
        <f>'Elektrická enerie'!D20</f>
        <v>58309</v>
      </c>
      <c r="C20" s="27">
        <f>'Elektrická enerie'!E20</f>
        <v>151599.85</v>
      </c>
      <c r="D20" s="39">
        <f>Plyn!B20</f>
        <v>9074</v>
      </c>
      <c r="E20" s="5">
        <f>Plyn!D20</f>
        <v>122254.64</v>
      </c>
      <c r="F20" s="39">
        <f>SUMIF(Voda!C20,"&gt;0")</f>
        <v>4525</v>
      </c>
      <c r="G20" s="5">
        <f>Voda!E20</f>
        <v>443463</v>
      </c>
      <c r="H20" s="53">
        <f>Voda!K20</f>
        <v>42760</v>
      </c>
      <c r="I20" s="329" t="s">
        <v>33</v>
      </c>
      <c r="J20" s="167"/>
      <c r="K20" s="33">
        <f t="shared" ref="K20:K26" si="4">G20+E20+C20+H20</f>
        <v>760077.49</v>
      </c>
    </row>
    <row r="21" spans="1:11" ht="15" customHeight="1" x14ac:dyDescent="0.25">
      <c r="A21" s="11" t="s">
        <v>8</v>
      </c>
      <c r="B21" s="8">
        <f>'Elektrická enerie'!D21</f>
        <v>60396</v>
      </c>
      <c r="C21" s="27">
        <f>'Elektrická enerie'!E21</f>
        <v>156777.89000000001</v>
      </c>
      <c r="D21" s="39">
        <f>Plyn!B21</f>
        <v>8950</v>
      </c>
      <c r="E21" s="5">
        <f>Plyn!D21</f>
        <v>121183.94</v>
      </c>
      <c r="F21" s="39">
        <f>SUMIF(Voda!C21,"&gt;0")</f>
        <v>5260</v>
      </c>
      <c r="G21" s="5">
        <f>Voda!E21</f>
        <v>515495</v>
      </c>
      <c r="H21" s="53">
        <f>Voda!K21</f>
        <v>42760</v>
      </c>
      <c r="I21" s="330"/>
      <c r="J21" s="167"/>
      <c r="K21" s="34">
        <f t="shared" si="4"/>
        <v>836216.83</v>
      </c>
    </row>
    <row r="22" spans="1:11" ht="15" customHeight="1" x14ac:dyDescent="0.25">
      <c r="A22" s="11" t="s">
        <v>9</v>
      </c>
      <c r="B22" s="8">
        <f>'Elektrická enerie'!D22</f>
        <v>59687</v>
      </c>
      <c r="C22" s="27">
        <f>'Elektrická enerie'!E22</f>
        <v>156124.73000000001</v>
      </c>
      <c r="D22" s="39">
        <f>Plyn!B22</f>
        <v>9635</v>
      </c>
      <c r="E22" s="5">
        <f>Plyn!D22</f>
        <v>126471.89</v>
      </c>
      <c r="F22" s="39">
        <f>SUMIF(Voda!C22,"&gt;0")</f>
        <v>5567</v>
      </c>
      <c r="G22" s="5">
        <f>Voda!E22</f>
        <v>545582</v>
      </c>
      <c r="H22" s="53">
        <f>Voda!K22</f>
        <v>42760</v>
      </c>
      <c r="I22" s="330"/>
      <c r="J22" s="167"/>
      <c r="K22" s="34">
        <f t="shared" si="4"/>
        <v>870938.62</v>
      </c>
    </row>
    <row r="23" spans="1:11" s="2" customFormat="1" ht="15.75" x14ac:dyDescent="0.25">
      <c r="A23" s="12" t="s">
        <v>10</v>
      </c>
      <c r="B23" s="9">
        <f t="shared" ref="B23:H23" si="5">B22+B21+B20</f>
        <v>178392</v>
      </c>
      <c r="C23" s="28">
        <f t="shared" si="5"/>
        <v>464502.47</v>
      </c>
      <c r="D23" s="40">
        <f t="shared" si="5"/>
        <v>27659</v>
      </c>
      <c r="E23" s="6">
        <f t="shared" si="5"/>
        <v>369910.47000000003</v>
      </c>
      <c r="F23" s="40">
        <f t="shared" si="5"/>
        <v>15352</v>
      </c>
      <c r="G23" s="6">
        <f t="shared" si="5"/>
        <v>1504540</v>
      </c>
      <c r="H23" s="54">
        <f t="shared" si="5"/>
        <v>128280</v>
      </c>
      <c r="I23" s="330"/>
      <c r="J23" s="167"/>
      <c r="K23" s="35">
        <f t="shared" si="4"/>
        <v>2467232.94</v>
      </c>
    </row>
    <row r="24" spans="1:11" x14ac:dyDescent="0.25">
      <c r="A24" s="11" t="s">
        <v>11</v>
      </c>
      <c r="B24" s="8">
        <f>'Elektrická enerie'!D24</f>
        <v>72428</v>
      </c>
      <c r="C24" s="27">
        <f>'Elektrická enerie'!E24</f>
        <v>180257.06</v>
      </c>
      <c r="D24" s="39">
        <f>Plyn!B24</f>
        <v>35874</v>
      </c>
      <c r="E24" s="5">
        <f>Plyn!D24</f>
        <v>323075.98</v>
      </c>
      <c r="F24" s="39">
        <f>SUMIF(Voda!C24,"&gt;0")</f>
        <v>5322</v>
      </c>
      <c r="G24" s="5">
        <f>Voda!E24</f>
        <v>521571</v>
      </c>
      <c r="H24" s="53">
        <f>Voda!K24</f>
        <v>42760</v>
      </c>
      <c r="I24" s="330"/>
      <c r="J24" s="167"/>
      <c r="K24" s="34">
        <f t="shared" si="4"/>
        <v>1067664.04</v>
      </c>
    </row>
    <row r="25" spans="1:11" x14ac:dyDescent="0.25">
      <c r="A25" s="11" t="s">
        <v>12</v>
      </c>
      <c r="B25" s="8">
        <f>'Elektrická enerie'!D25</f>
        <v>73711</v>
      </c>
      <c r="C25" s="27">
        <f>'Elektrická enerie'!E25</f>
        <v>178216.28</v>
      </c>
      <c r="D25" s="39">
        <f>Plyn!B25</f>
        <v>47493</v>
      </c>
      <c r="E25" s="5">
        <f>Plyn!D25</f>
        <v>409723</v>
      </c>
      <c r="F25" s="39">
        <f>SUMIF(Voda!C25,"&gt;0")</f>
        <v>4629</v>
      </c>
      <c r="G25" s="5">
        <f>Voda!E25</f>
        <v>453655</v>
      </c>
      <c r="H25" s="53">
        <f>Voda!K25</f>
        <v>42760</v>
      </c>
      <c r="I25" s="330"/>
      <c r="J25" s="167"/>
      <c r="K25" s="34">
        <f t="shared" si="4"/>
        <v>1084354.28</v>
      </c>
    </row>
    <row r="26" spans="1:11" x14ac:dyDescent="0.25">
      <c r="A26" s="11" t="s">
        <v>13</v>
      </c>
      <c r="B26" s="8">
        <f>'Elektrická enerie'!D26</f>
        <v>78194</v>
      </c>
      <c r="C26" s="27">
        <f>'Elektrická enerie'!E26</f>
        <v>184330.27</v>
      </c>
      <c r="D26" s="39">
        <f>Plyn!B26</f>
        <v>51961</v>
      </c>
      <c r="E26" s="5">
        <f>Plyn!D26</f>
        <v>443206.02</v>
      </c>
      <c r="F26" s="39">
        <f>SUMIF(Voda!C26,"&gt;0")</f>
        <v>5152</v>
      </c>
      <c r="G26" s="5">
        <f>Voda!E26</f>
        <v>504911</v>
      </c>
      <c r="H26" s="53">
        <f>Voda!K26</f>
        <v>42760</v>
      </c>
      <c r="I26" s="332">
        <v>4468</v>
      </c>
      <c r="J26" s="168"/>
      <c r="K26" s="34">
        <f t="shared" si="4"/>
        <v>1175207.29</v>
      </c>
    </row>
    <row r="27" spans="1:11" s="2" customFormat="1" ht="15.75" x14ac:dyDescent="0.25">
      <c r="A27" s="12" t="s">
        <v>28</v>
      </c>
      <c r="B27" s="9">
        <f t="shared" ref="B27:H27" si="6">B26+B25+B24</f>
        <v>224333</v>
      </c>
      <c r="C27" s="28">
        <f t="shared" si="6"/>
        <v>542803.61</v>
      </c>
      <c r="D27" s="40">
        <f t="shared" si="6"/>
        <v>135328</v>
      </c>
      <c r="E27" s="6">
        <f t="shared" si="6"/>
        <v>1176005</v>
      </c>
      <c r="F27" s="40">
        <f t="shared" si="6"/>
        <v>15103</v>
      </c>
      <c r="G27" s="6">
        <f t="shared" si="6"/>
        <v>1480137</v>
      </c>
      <c r="H27" s="54">
        <f t="shared" si="6"/>
        <v>128280</v>
      </c>
      <c r="I27" s="333"/>
      <c r="J27" s="171"/>
      <c r="K27" s="35">
        <f>G27+E27+C27+H27</f>
        <v>3327225.61</v>
      </c>
    </row>
    <row r="28" spans="1:11" s="3" customFormat="1" ht="19.5" thickBot="1" x14ac:dyDescent="0.35">
      <c r="A28" s="19" t="s">
        <v>23</v>
      </c>
      <c r="B28" s="20">
        <f t="shared" ref="B28:H28" si="7">B27+B23</f>
        <v>402725</v>
      </c>
      <c r="C28" s="30">
        <f t="shared" si="7"/>
        <v>1007306.08</v>
      </c>
      <c r="D28" s="42">
        <f t="shared" si="7"/>
        <v>162987</v>
      </c>
      <c r="E28" s="21">
        <f t="shared" si="7"/>
        <v>1545915.47</v>
      </c>
      <c r="F28" s="42">
        <f t="shared" si="7"/>
        <v>30455</v>
      </c>
      <c r="G28" s="21">
        <f t="shared" si="7"/>
        <v>2984677</v>
      </c>
      <c r="H28" s="20">
        <f t="shared" si="7"/>
        <v>256560</v>
      </c>
      <c r="I28" s="58">
        <v>17</v>
      </c>
      <c r="J28" s="296">
        <f>(H28+I28)/I26</f>
        <v>57.425470008952551</v>
      </c>
      <c r="K28" s="57">
        <f>G28+E28+C28+H28+I28</f>
        <v>5794475.5499999998</v>
      </c>
    </row>
    <row r="29" spans="1:11" s="4" customFormat="1" ht="21.75" thickBot="1" x14ac:dyDescent="0.4">
      <c r="A29" s="22" t="s">
        <v>14</v>
      </c>
      <c r="B29" s="23">
        <f>B28+B19</f>
        <v>809705</v>
      </c>
      <c r="C29" s="31">
        <f>C28+C19</f>
        <v>2014687.2199999997</v>
      </c>
      <c r="D29" s="43">
        <f t="shared" ref="D29:F29" si="8">D28+D19</f>
        <v>364944</v>
      </c>
      <c r="E29" s="24">
        <f>E28+E19</f>
        <v>3387127.38</v>
      </c>
      <c r="F29" s="43">
        <f t="shared" si="8"/>
        <v>59256</v>
      </c>
      <c r="G29" s="24">
        <f>G28+G19</f>
        <v>5803395</v>
      </c>
      <c r="H29" s="23">
        <f>H28+H19</f>
        <v>503160</v>
      </c>
      <c r="I29" s="29">
        <f>I19+I28</f>
        <v>7196</v>
      </c>
      <c r="J29" s="174"/>
      <c r="K29" s="37">
        <f>G29+E29+C29+H29+I29</f>
        <v>11715565.599999998</v>
      </c>
    </row>
    <row r="30" spans="1:11" s="44" customFormat="1" ht="36.75" thickBot="1" x14ac:dyDescent="0.6">
      <c r="A30" s="46" t="s">
        <v>20</v>
      </c>
      <c r="B30" s="48" t="s">
        <v>30</v>
      </c>
      <c r="C30" s="47">
        <f>C29/B29</f>
        <v>2.488174359797704</v>
      </c>
      <c r="D30" s="48" t="s">
        <v>31</v>
      </c>
      <c r="E30" s="47">
        <f>E29/D29</f>
        <v>9.2812250098645261</v>
      </c>
      <c r="F30" s="48" t="s">
        <v>31</v>
      </c>
      <c r="G30" s="47">
        <f>G29/F29</f>
        <v>97.937677197245847</v>
      </c>
      <c r="H30" s="48" t="s">
        <v>31</v>
      </c>
      <c r="I30" s="175">
        <f>(SUMIF(J19,"&gt;0")+SUMIF(J28,"&gt;0"))/(COUNT(J19,"&gt;0")+COUNT(J28,"&gt;0"))</f>
        <v>57.112354521038498</v>
      </c>
      <c r="J30" s="172"/>
      <c r="K30" s="46"/>
    </row>
    <row r="31" spans="1:11" x14ac:dyDescent="0.25">
      <c r="J31" s="164"/>
    </row>
    <row r="32" spans="1:11" x14ac:dyDescent="0.25">
      <c r="I32" s="176"/>
    </row>
  </sheetData>
  <mergeCells count="11">
    <mergeCell ref="I26:I27"/>
    <mergeCell ref="B9:C9"/>
    <mergeCell ref="D9:E9"/>
    <mergeCell ref="F9:G9"/>
    <mergeCell ref="A9:A10"/>
    <mergeCell ref="A1:K6"/>
    <mergeCell ref="A8:K8"/>
    <mergeCell ref="H9:I9"/>
    <mergeCell ref="I11:I16"/>
    <mergeCell ref="I20:I25"/>
    <mergeCell ref="I17:I18"/>
  </mergeCells>
  <pageMargins left="0" right="0" top="0" bottom="0" header="0" footer="0"/>
  <pageSetup paperSize="9" orientation="landscape" r:id="rId1"/>
  <ignoredErrors>
    <ignoredError sqref="K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Plyn</vt:lpstr>
      <vt:lpstr>Voda</vt:lpstr>
      <vt:lpstr>Elektrická enerie</vt:lpstr>
      <vt:lpstr>Přehled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2018-02-05T09:38:55Z</dcterms:modified>
</cp:coreProperties>
</file>